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hidePivotFieldList="1" defaultThemeVersion="124226"/>
  <mc:AlternateContent xmlns:mc="http://schemas.openxmlformats.org/markup-compatibility/2006">
    <mc:Choice Requires="x15">
      <x15ac:absPath xmlns:x15ac="http://schemas.microsoft.com/office/spreadsheetml/2010/11/ac" url="C:\CONTROL INTERNO 2014 2019\MAPA DE RIESGOS 2017 2020\MAPA DE RIESGOS 2024\"/>
    </mc:Choice>
  </mc:AlternateContent>
  <xr:revisionPtr revIDLastSave="0" documentId="8_{BF736331-B1E0-4260-ACA9-3944F1616286}" xr6:coauthVersionLast="47" xr6:coauthVersionMax="47" xr10:uidLastSave="{00000000-0000-0000-0000-000000000000}"/>
  <bookViews>
    <workbookView xWindow="-120" yWindow="-120" windowWidth="24240" windowHeight="1302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_FilterDatabase" localSheetId="1" hidden="1">'Mapa final'!$A$9:$BQ$140</definedName>
  </definedNames>
  <calcPr calcId="191029"/>
  <pivotCaches>
    <pivotCache cacheId="6"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136" i="1" l="1"/>
  <c r="R136" i="1"/>
  <c r="U135" i="1"/>
  <c r="R135" i="1"/>
  <c r="I135" i="1"/>
  <c r="J135" i="1" s="1"/>
  <c r="L137" i="1"/>
  <c r="L138" i="1"/>
  <c r="L139" i="1"/>
  <c r="L136" i="1"/>
  <c r="Y135" i="1" l="1"/>
  <c r="I115" i="1"/>
  <c r="I121" i="1"/>
  <c r="J121" i="1" s="1"/>
  <c r="U134" i="1"/>
  <c r="R134" i="1"/>
  <c r="U133" i="1"/>
  <c r="R133" i="1"/>
  <c r="U132" i="1"/>
  <c r="R132" i="1"/>
  <c r="U131" i="1"/>
  <c r="R131" i="1"/>
  <c r="U130" i="1"/>
  <c r="R130" i="1"/>
  <c r="I130" i="1"/>
  <c r="J130" i="1" s="1"/>
  <c r="U129" i="1"/>
  <c r="R129" i="1"/>
  <c r="U128" i="1"/>
  <c r="R128" i="1"/>
  <c r="U127" i="1"/>
  <c r="R127" i="1"/>
  <c r="I127" i="1"/>
  <c r="J127" i="1" s="1"/>
  <c r="U126" i="1"/>
  <c r="R126" i="1"/>
  <c r="U125" i="1"/>
  <c r="R125" i="1"/>
  <c r="U124" i="1"/>
  <c r="R124" i="1"/>
  <c r="U123" i="1"/>
  <c r="R123" i="1"/>
  <c r="I123" i="1"/>
  <c r="J123" i="1" s="1"/>
  <c r="U122" i="1"/>
  <c r="R122" i="1"/>
  <c r="U121" i="1"/>
  <c r="R121" i="1"/>
  <c r="AB116" i="1"/>
  <c r="AB117" i="1"/>
  <c r="Z115" i="1"/>
  <c r="Z116" i="1"/>
  <c r="Z117" i="1"/>
  <c r="Z118" i="1"/>
  <c r="Z119" i="1"/>
  <c r="Z120" i="1"/>
  <c r="AB115" i="1"/>
  <c r="R115" i="1"/>
  <c r="R120" i="1"/>
  <c r="R119" i="1"/>
  <c r="R118" i="1"/>
  <c r="R117" i="1"/>
  <c r="R116" i="1"/>
  <c r="L124" i="1"/>
  <c r="L129" i="1"/>
  <c r="L125" i="1"/>
  <c r="L132" i="1"/>
  <c r="L126" i="1"/>
  <c r="L122" i="1"/>
  <c r="L128" i="1"/>
  <c r="L134" i="1"/>
  <c r="L116" i="1"/>
  <c r="L120" i="1"/>
  <c r="L131" i="1"/>
  <c r="L133" i="1"/>
  <c r="L117" i="1"/>
  <c r="L119" i="1"/>
  <c r="L118" i="1"/>
  <c r="Z135" i="1" l="1"/>
  <c r="AA135" i="1"/>
  <c r="Y136" i="1" s="1"/>
  <c r="Y128" i="1"/>
  <c r="AA128" i="1" s="1"/>
  <c r="Y129" i="1" s="1"/>
  <c r="Y127" i="1"/>
  <c r="AA127" i="1" s="1"/>
  <c r="Y130" i="1"/>
  <c r="Z130" i="1" s="1"/>
  <c r="Y121" i="1"/>
  <c r="Z121" i="1" s="1"/>
  <c r="Y123" i="1"/>
  <c r="AA26" i="1"/>
  <c r="Z26"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I112" i="1"/>
  <c r="I104" i="1"/>
  <c r="I110" i="1"/>
  <c r="I98" i="1"/>
  <c r="I34" i="1"/>
  <c r="J34" i="1" s="1"/>
  <c r="I26" i="1"/>
  <c r="J26" i="1" s="1"/>
  <c r="I31" i="1"/>
  <c r="J31" i="1" s="1"/>
  <c r="U97" i="1"/>
  <c r="U96" i="1"/>
  <c r="U95" i="1"/>
  <c r="U94" i="1"/>
  <c r="U93" i="1"/>
  <c r="U92" i="1"/>
  <c r="I92" i="1"/>
  <c r="U91" i="1"/>
  <c r="U90" i="1"/>
  <c r="U89" i="1"/>
  <c r="U88" i="1"/>
  <c r="U87" i="1"/>
  <c r="U86" i="1"/>
  <c r="I86" i="1"/>
  <c r="U85" i="1"/>
  <c r="U84" i="1"/>
  <c r="U83" i="1"/>
  <c r="I83" i="1"/>
  <c r="U82" i="1"/>
  <c r="U81" i="1"/>
  <c r="U80" i="1"/>
  <c r="U79" i="1"/>
  <c r="U78" i="1"/>
  <c r="I78" i="1"/>
  <c r="J78" i="1" s="1"/>
  <c r="U77" i="1"/>
  <c r="U76" i="1"/>
  <c r="U75" i="1"/>
  <c r="I75" i="1"/>
  <c r="J75" i="1" s="1"/>
  <c r="U74" i="1"/>
  <c r="U73" i="1"/>
  <c r="U72" i="1"/>
  <c r="U71" i="1"/>
  <c r="I71" i="1"/>
  <c r="U70" i="1"/>
  <c r="U69" i="1"/>
  <c r="I69" i="1"/>
  <c r="J69" i="1" s="1"/>
  <c r="I63" i="1"/>
  <c r="I59" i="1"/>
  <c r="I57" i="1"/>
  <c r="I54" i="1"/>
  <c r="I51" i="1"/>
  <c r="I46" i="1"/>
  <c r="I40" i="1"/>
  <c r="I39" i="1"/>
  <c r="L90" i="1"/>
  <c r="L77" i="1"/>
  <c r="L32" i="1"/>
  <c r="L106" i="1"/>
  <c r="L95" i="1"/>
  <c r="L58" i="1"/>
  <c r="L79" i="1"/>
  <c r="L28" i="1"/>
  <c r="L49" i="1"/>
  <c r="L87" i="1"/>
  <c r="L70" i="1"/>
  <c r="L109" i="1"/>
  <c r="L27" i="1"/>
  <c r="L60" i="1"/>
  <c r="L107" i="1"/>
  <c r="L85" i="1"/>
  <c r="L101" i="1"/>
  <c r="L33" i="1"/>
  <c r="L93" i="1"/>
  <c r="L55" i="1"/>
  <c r="L64" i="1"/>
  <c r="L50" i="1"/>
  <c r="L88" i="1"/>
  <c r="L102" i="1"/>
  <c r="L74" i="1"/>
  <c r="L111" i="1"/>
  <c r="L42" i="1"/>
  <c r="L97" i="1"/>
  <c r="L100" i="1"/>
  <c r="L114" i="1"/>
  <c r="L61" i="1"/>
  <c r="L103" i="1"/>
  <c r="L30" i="1"/>
  <c r="L89" i="1"/>
  <c r="L73" i="1"/>
  <c r="L68" i="1"/>
  <c r="L96" i="1"/>
  <c r="L84" i="1"/>
  <c r="L43" i="1"/>
  <c r="L48" i="1"/>
  <c r="L82" i="1"/>
  <c r="L105" i="1"/>
  <c r="L45" i="1"/>
  <c r="L66" i="1"/>
  <c r="L62" i="1"/>
  <c r="L113" i="1"/>
  <c r="L53" i="1"/>
  <c r="L99" i="1"/>
  <c r="L65" i="1"/>
  <c r="L94" i="1"/>
  <c r="L81" i="1"/>
  <c r="L44" i="1"/>
  <c r="L91" i="1"/>
  <c r="L41" i="1"/>
  <c r="L67" i="1"/>
  <c r="L29" i="1"/>
  <c r="L76" i="1"/>
  <c r="L108" i="1"/>
  <c r="L80" i="1"/>
  <c r="L52" i="1"/>
  <c r="L56" i="1"/>
  <c r="L72" i="1"/>
  <c r="L47" i="1"/>
  <c r="AA130" i="1" l="1"/>
  <c r="Y131" i="1" s="1"/>
  <c r="Z127" i="1"/>
  <c r="AA136" i="1"/>
  <c r="Z136" i="1"/>
  <c r="Z128" i="1"/>
  <c r="AA121" i="1"/>
  <c r="Y122" i="1" s="1"/>
  <c r="AA123" i="1"/>
  <c r="Z123" i="1"/>
  <c r="AA131" i="1"/>
  <c r="Y132" i="1" s="1"/>
  <c r="Z131" i="1"/>
  <c r="AA129" i="1"/>
  <c r="Z129" i="1"/>
  <c r="AC93" i="1"/>
  <c r="AB93" i="1" s="1"/>
  <c r="Y76" i="1"/>
  <c r="AA76" i="1" s="1"/>
  <c r="Y77" i="1" s="1"/>
  <c r="AA77" i="1" s="1"/>
  <c r="Y91" i="1"/>
  <c r="AA91" i="1" s="1"/>
  <c r="Y88" i="1"/>
  <c r="Z88" i="1" s="1"/>
  <c r="AC90" i="1"/>
  <c r="AB90" i="1" s="1"/>
  <c r="AC94" i="1"/>
  <c r="AB94" i="1" s="1"/>
  <c r="Y70" i="1"/>
  <c r="AA70" i="1" s="1"/>
  <c r="Y69" i="1"/>
  <c r="AA69" i="1" s="1"/>
  <c r="Y89" i="1"/>
  <c r="AA89" i="1" s="1"/>
  <c r="Y92" i="1"/>
  <c r="Z92" i="1" s="1"/>
  <c r="AC92" i="1"/>
  <c r="AB92" i="1" s="1"/>
  <c r="AC95" i="1"/>
  <c r="AB95" i="1" s="1"/>
  <c r="Y96" i="1"/>
  <c r="AA96" i="1" s="1"/>
  <c r="AC97" i="1"/>
  <c r="AB97" i="1" s="1"/>
  <c r="Y97" i="1"/>
  <c r="AA97" i="1" s="1"/>
  <c r="Y94" i="1"/>
  <c r="Y78" i="1"/>
  <c r="AA78" i="1" s="1"/>
  <c r="Y79" i="1" s="1"/>
  <c r="AA79" i="1" s="1"/>
  <c r="Y80" i="1" s="1"/>
  <c r="AC87" i="1"/>
  <c r="AB87" i="1" s="1"/>
  <c r="AC89" i="1"/>
  <c r="AB89" i="1" s="1"/>
  <c r="Y93" i="1"/>
  <c r="Y83" i="1"/>
  <c r="AC91" i="1"/>
  <c r="AB91" i="1" s="1"/>
  <c r="AC96" i="1"/>
  <c r="AB96" i="1" s="1"/>
  <c r="Y90" i="1"/>
  <c r="Z90" i="1" s="1"/>
  <c r="Y95" i="1"/>
  <c r="AA95" i="1" s="1"/>
  <c r="AC88" i="1"/>
  <c r="AB88" i="1" s="1"/>
  <c r="Y85" i="1"/>
  <c r="Y86" i="1"/>
  <c r="J71" i="1"/>
  <c r="Y71" i="1" s="1"/>
  <c r="Z71" i="1" s="1"/>
  <c r="Y84" i="1"/>
  <c r="Y75" i="1"/>
  <c r="Y87" i="1"/>
  <c r="U68" i="1"/>
  <c r="U67" i="1"/>
  <c r="U66" i="1"/>
  <c r="U65" i="1"/>
  <c r="U64" i="1"/>
  <c r="U63" i="1"/>
  <c r="U62" i="1"/>
  <c r="U61" i="1"/>
  <c r="U60" i="1"/>
  <c r="U59" i="1"/>
  <c r="U58" i="1"/>
  <c r="Y57" i="1"/>
  <c r="AA57" i="1" s="1"/>
  <c r="U57" i="1"/>
  <c r="U56" i="1"/>
  <c r="U55" i="1"/>
  <c r="U54" i="1"/>
  <c r="U53" i="1"/>
  <c r="U52" i="1"/>
  <c r="U51" i="1"/>
  <c r="U50" i="1"/>
  <c r="U49" i="1"/>
  <c r="U48" i="1"/>
  <c r="U47" i="1"/>
  <c r="U46" i="1"/>
  <c r="U45" i="1"/>
  <c r="U44" i="1"/>
  <c r="U43" i="1"/>
  <c r="U42" i="1"/>
  <c r="U41" i="1"/>
  <c r="U40" i="1"/>
  <c r="U39" i="1"/>
  <c r="U114" i="1"/>
  <c r="U113" i="1"/>
  <c r="U112" i="1"/>
  <c r="Y112" i="1"/>
  <c r="AA112" i="1" s="1"/>
  <c r="I13" i="1"/>
  <c r="I17" i="1"/>
  <c r="I20" i="1"/>
  <c r="I21" i="1"/>
  <c r="I35" i="1"/>
  <c r="I36" i="1"/>
  <c r="I37" i="1"/>
  <c r="I38" i="1"/>
  <c r="I10" i="1"/>
  <c r="AA122" i="1" l="1"/>
  <c r="Z122" i="1"/>
  <c r="AA132" i="1"/>
  <c r="Y133" i="1" s="1"/>
  <c r="Z132" i="1"/>
  <c r="Y125" i="1"/>
  <c r="Y124" i="1"/>
  <c r="Z91" i="1"/>
  <c r="AD91" i="1" s="1"/>
  <c r="AA92" i="1"/>
  <c r="AA88" i="1"/>
  <c r="Z96" i="1"/>
  <c r="AD96" i="1" s="1"/>
  <c r="AD92" i="1"/>
  <c r="Z76" i="1"/>
  <c r="AD90" i="1"/>
  <c r="Z89" i="1"/>
  <c r="AD89" i="1" s="1"/>
  <c r="Z78" i="1"/>
  <c r="AD88" i="1"/>
  <c r="Z80" i="1"/>
  <c r="AA80" i="1"/>
  <c r="Y81" i="1" s="1"/>
  <c r="AA81" i="1" s="1"/>
  <c r="Y82" i="1" s="1"/>
  <c r="Z77" i="1"/>
  <c r="Z70" i="1"/>
  <c r="Z69" i="1"/>
  <c r="AD83" i="1"/>
  <c r="Z79" i="1"/>
  <c r="Z97" i="1"/>
  <c r="AD97" i="1" s="1"/>
  <c r="Z95" i="1"/>
  <c r="AD95" i="1" s="1"/>
  <c r="AA94" i="1"/>
  <c r="Z94" i="1"/>
  <c r="AD94" i="1" s="1"/>
  <c r="AA71" i="1"/>
  <c r="AA93" i="1"/>
  <c r="Z93" i="1"/>
  <c r="AD93" i="1" s="1"/>
  <c r="AA90" i="1"/>
  <c r="AD84" i="1"/>
  <c r="Y40" i="1"/>
  <c r="AA40" i="1" s="1"/>
  <c r="Y41" i="1" s="1"/>
  <c r="AA41" i="1" s="1"/>
  <c r="Y42" i="1" s="1"/>
  <c r="Y58" i="1"/>
  <c r="AA58" i="1" s="1"/>
  <c r="AA86" i="1"/>
  <c r="Z86" i="1"/>
  <c r="AD85" i="1"/>
  <c r="AA75" i="1"/>
  <c r="Z75" i="1"/>
  <c r="AA87" i="1"/>
  <c r="Z87" i="1"/>
  <c r="AD87" i="1" s="1"/>
  <c r="Y54" i="1"/>
  <c r="AA54" i="1" s="1"/>
  <c r="Y55" i="1" s="1"/>
  <c r="Z57" i="1"/>
  <c r="Y39" i="1"/>
  <c r="Y59" i="1"/>
  <c r="Y46" i="1"/>
  <c r="Y51" i="1"/>
  <c r="Y63" i="1"/>
  <c r="Z112" i="1"/>
  <c r="Y113" i="1"/>
  <c r="Y114" i="1"/>
  <c r="Z124" i="1" l="1"/>
  <c r="AA124" i="1"/>
  <c r="AA125" i="1"/>
  <c r="Y126" i="1" s="1"/>
  <c r="Z125" i="1"/>
  <c r="AA133" i="1"/>
  <c r="Y134" i="1" s="1"/>
  <c r="Z133" i="1"/>
  <c r="Z82" i="1"/>
  <c r="AA82" i="1"/>
  <c r="Z81" i="1"/>
  <c r="Y73" i="1"/>
  <c r="Y72" i="1"/>
  <c r="Z58" i="1"/>
  <c r="Z54" i="1"/>
  <c r="Z40" i="1"/>
  <c r="Z41" i="1"/>
  <c r="Z42" i="1"/>
  <c r="AA42" i="1"/>
  <c r="Y43" i="1" s="1"/>
  <c r="AA43" i="1" s="1"/>
  <c r="Y44" i="1" s="1"/>
  <c r="AA63" i="1"/>
  <c r="Y64" i="1" s="1"/>
  <c r="Z64" i="1" s="1"/>
  <c r="Z63" i="1"/>
  <c r="Z59" i="1"/>
  <c r="AA59" i="1"/>
  <c r="Y60" i="1" s="1"/>
  <c r="AA60" i="1" s="1"/>
  <c r="Y61" i="1" s="1"/>
  <c r="AA61" i="1" s="1"/>
  <c r="Y62" i="1" s="1"/>
  <c r="Z39" i="1"/>
  <c r="AA39" i="1"/>
  <c r="AA55" i="1"/>
  <c r="Y56" i="1" s="1"/>
  <c r="AA56" i="1" s="1"/>
  <c r="Z55" i="1"/>
  <c r="AA51" i="1"/>
  <c r="Y52" i="1" s="1"/>
  <c r="Z52" i="1" s="1"/>
  <c r="Z51" i="1"/>
  <c r="Z46" i="1"/>
  <c r="AA46" i="1"/>
  <c r="Y47" i="1" s="1"/>
  <c r="Z47" i="1" s="1"/>
  <c r="AA114" i="1"/>
  <c r="Z114" i="1"/>
  <c r="Z113" i="1"/>
  <c r="AA113" i="1"/>
  <c r="U10" i="1"/>
  <c r="J10" i="1"/>
  <c r="L25" i="1"/>
  <c r="L18" i="1"/>
  <c r="L15" i="1"/>
  <c r="L19" i="1"/>
  <c r="L23" i="1"/>
  <c r="L14" i="1"/>
  <c r="L22" i="1"/>
  <c r="L24" i="1"/>
  <c r="L16" i="1"/>
  <c r="Z134" i="1" l="1"/>
  <c r="AA134" i="1"/>
  <c r="AA126" i="1"/>
  <c r="Z126" i="1"/>
  <c r="Z56" i="1"/>
  <c r="Z72" i="1"/>
  <c r="AA72" i="1"/>
  <c r="AA73" i="1"/>
  <c r="Y74" i="1" s="1"/>
  <c r="Z73" i="1"/>
  <c r="AA62" i="1"/>
  <c r="Z62" i="1"/>
  <c r="Z60" i="1"/>
  <c r="AA64" i="1"/>
  <c r="Y65" i="1" s="1"/>
  <c r="Z61" i="1"/>
  <c r="AA52" i="1"/>
  <c r="Y53" i="1" s="1"/>
  <c r="AA44" i="1"/>
  <c r="Y45" i="1" s="1"/>
  <c r="Z44" i="1"/>
  <c r="Z43" i="1"/>
  <c r="AA47" i="1"/>
  <c r="Y48" i="1" s="1"/>
  <c r="F221" i="13"/>
  <c r="F211" i="13"/>
  <c r="F212" i="13"/>
  <c r="F213" i="13"/>
  <c r="F214" i="13"/>
  <c r="F215" i="13"/>
  <c r="F216" i="13"/>
  <c r="F217" i="13"/>
  <c r="F218" i="13"/>
  <c r="F219" i="13"/>
  <c r="F220" i="13"/>
  <c r="F210" i="13"/>
  <c r="L12" i="1"/>
  <c r="B221" i="13" a="1"/>
  <c r="L11" i="1"/>
  <c r="Z74" i="1" l="1"/>
  <c r="AA74" i="1"/>
  <c r="Z65" i="1"/>
  <c r="AA65" i="1"/>
  <c r="Y66" i="1" s="1"/>
  <c r="AA53" i="1"/>
  <c r="Z53" i="1"/>
  <c r="AA45" i="1"/>
  <c r="Z45" i="1"/>
  <c r="Z48" i="1"/>
  <c r="AA48" i="1"/>
  <c r="Y49" i="1" s="1"/>
  <c r="B221" i="13"/>
  <c r="AA66" i="1" l="1"/>
  <c r="Z66" i="1"/>
  <c r="AA49" i="1"/>
  <c r="Y50" i="1" s="1"/>
  <c r="Z49"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Y67" i="1" l="1"/>
  <c r="Z50" i="1"/>
  <c r="AA50" i="1"/>
  <c r="U38" i="1"/>
  <c r="J38" i="1"/>
  <c r="U37" i="1"/>
  <c r="J37" i="1"/>
  <c r="U36" i="1"/>
  <c r="J36" i="1"/>
  <c r="U35" i="1"/>
  <c r="J35" i="1"/>
  <c r="U25" i="1"/>
  <c r="U24" i="1"/>
  <c r="U23" i="1"/>
  <c r="U22" i="1"/>
  <c r="U21" i="1"/>
  <c r="J21" i="1"/>
  <c r="U20" i="1"/>
  <c r="J20" i="1"/>
  <c r="U19" i="1"/>
  <c r="U18" i="1"/>
  <c r="U17" i="1"/>
  <c r="J17" i="1"/>
  <c r="U16" i="1"/>
  <c r="U15" i="1"/>
  <c r="U14" i="1"/>
  <c r="U13" i="1"/>
  <c r="AA67" i="1" l="1"/>
  <c r="Y68" i="1" s="1"/>
  <c r="AA68" i="1" s="1"/>
  <c r="Z67" i="1"/>
  <c r="J13" i="1"/>
  <c r="Y13" i="1" s="1"/>
  <c r="Y38" i="1"/>
  <c r="Y37" i="1"/>
  <c r="Y36" i="1"/>
  <c r="Y35" i="1"/>
  <c r="Y21" i="1"/>
  <c r="Y20" i="1"/>
  <c r="Y17" i="1"/>
  <c r="Z68" i="1" l="1"/>
  <c r="Z38" i="1"/>
  <c r="AA38" i="1"/>
  <c r="Z37" i="1"/>
  <c r="AA37" i="1"/>
  <c r="Z36" i="1"/>
  <c r="AA36" i="1"/>
  <c r="Z35" i="1"/>
  <c r="AA35" i="1"/>
  <c r="Z21" i="1"/>
  <c r="AA21" i="1"/>
  <c r="Z20" i="1"/>
  <c r="AA20" i="1"/>
  <c r="Z17" i="1"/>
  <c r="AA17" i="1"/>
  <c r="Y18" i="1" s="1"/>
  <c r="Z18" i="1" s="1"/>
  <c r="Z13" i="1"/>
  <c r="AA13" i="1"/>
  <c r="Y14" i="1" s="1"/>
  <c r="AA18" i="1" l="1"/>
  <c r="Y19" i="1" s="1"/>
  <c r="Z19" i="1" s="1"/>
  <c r="Y2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U11" i="1"/>
  <c r="U12" i="1"/>
  <c r="AA19" i="1" l="1"/>
  <c r="Z22" i="1"/>
  <c r="AA22" i="1"/>
  <c r="Y23" i="1" s="1"/>
  <c r="Z23" i="1" s="1"/>
  <c r="Z14" i="1"/>
  <c r="AA14" i="1"/>
  <c r="Y15" i="1" s="1"/>
  <c r="Z15" i="1" s="1"/>
  <c r="AA23" i="1" l="1"/>
  <c r="Y24" i="1" s="1"/>
  <c r="AA24" i="1" s="1"/>
  <c r="Y25" i="1" s="1"/>
  <c r="AA15" i="1"/>
  <c r="Y16" i="1" s="1"/>
  <c r="Z16" i="1" s="1"/>
  <c r="Z24" i="1" l="1"/>
  <c r="AA25" i="1"/>
  <c r="Z25" i="1"/>
  <c r="AA16" i="1"/>
  <c r="Y10" i="1"/>
  <c r="Z10" i="1" s="1"/>
  <c r="AA10" i="1" l="1"/>
  <c r="Y11" i="1" s="1"/>
  <c r="Z11" i="1" l="1"/>
  <c r="AA11" i="1" l="1"/>
  <c r="Y12" i="1" s="1"/>
  <c r="Z12" i="1" s="1"/>
  <c r="AA12" i="1" l="1"/>
  <c r="AB33" i="19" l="1"/>
  <c r="V13" i="19"/>
  <c r="AH23" i="19"/>
  <c r="J23" i="19"/>
  <c r="AB43" i="19"/>
  <c r="P43" i="19"/>
  <c r="AB53" i="19"/>
  <c r="V33" i="19"/>
  <c r="P13" i="19"/>
  <c r="J43" i="19"/>
  <c r="V23" i="19"/>
  <c r="J53" i="19"/>
  <c r="AH43" i="19"/>
  <c r="AH13" i="19"/>
  <c r="P53" i="19"/>
  <c r="V43" i="19"/>
  <c r="J13" i="19"/>
  <c r="P33" i="19"/>
  <c r="J33" i="19"/>
  <c r="V53" i="19"/>
  <c r="AH33" i="19"/>
  <c r="AB23" i="19"/>
  <c r="AH53" i="19"/>
  <c r="P23" i="19"/>
  <c r="AB13" i="19"/>
  <c r="K35" i="19" l="1"/>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J43" i="19" l="1"/>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C25"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B25" i="1" l="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M50" i="19" l="1"/>
  <c r="AC26" i="1"/>
  <c r="AB26" i="1" s="1"/>
  <c r="AD26" i="1" s="1"/>
  <c r="AG24" i="19"/>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AM40" i="19"/>
  <c r="O30" i="19"/>
  <c r="AM30" i="19"/>
  <c r="AA10" i="19"/>
  <c r="U50" i="19"/>
  <c r="AG2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D2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A30" i="19" l="1"/>
  <c r="U20" i="19"/>
  <c r="U30" i="19"/>
  <c r="AG30" i="19"/>
  <c r="AG50" i="19"/>
  <c r="O50" i="19"/>
  <c r="O20" i="19"/>
  <c r="U10" i="19"/>
  <c r="AG40" i="19"/>
  <c r="AM20" i="19"/>
  <c r="AA20" i="19"/>
  <c r="AM10" i="19"/>
  <c r="AA40" i="19"/>
  <c r="O40" i="19"/>
  <c r="AA50" i="19"/>
  <c r="AG10" i="19"/>
  <c r="U40" i="19"/>
  <c r="Y16" i="19"/>
  <c r="M6" i="19"/>
  <c r="AE26" i="19"/>
  <c r="S16" i="19"/>
  <c r="AE6" i="19"/>
  <c r="Y36" i="19"/>
  <c r="AK46" i="19"/>
  <c r="AK16" i="19"/>
  <c r="M16" i="19"/>
  <c r="Y6" i="19"/>
  <c r="M46" i="19"/>
  <c r="S6" i="19"/>
  <c r="AE46" i="19"/>
  <c r="S36" i="19"/>
  <c r="M26" i="19"/>
  <c r="Y46" i="19"/>
  <c r="AK36" i="19"/>
  <c r="Y26" i="19"/>
  <c r="AE36" i="19"/>
  <c r="M36" i="19"/>
  <c r="AE16" i="19"/>
  <c r="S46" i="19"/>
  <c r="AK26" i="19"/>
  <c r="S26" i="19"/>
  <c r="AK6" i="19"/>
  <c r="B223" i="13" l="1"/>
  <c r="B222" i="13"/>
  <c r="H210" i="13" s="1"/>
  <c r="L135" i="1" l="1"/>
  <c r="M135" i="1" s="1"/>
  <c r="N135" i="1" s="1"/>
  <c r="AC135" i="1" s="1"/>
  <c r="L123" i="1"/>
  <c r="M123" i="1" s="1"/>
  <c r="L127" i="1"/>
  <c r="M127" i="1" s="1"/>
  <c r="L121" i="1"/>
  <c r="M121" i="1" s="1"/>
  <c r="L130" i="1"/>
  <c r="M130" i="1" s="1"/>
  <c r="L115" i="1"/>
  <c r="M115" i="1" s="1"/>
  <c r="L112" i="1"/>
  <c r="M112" i="1" s="1"/>
  <c r="L75" i="1"/>
  <c r="M75" i="1" s="1"/>
  <c r="L59" i="1"/>
  <c r="M59" i="1" s="1"/>
  <c r="L35" i="1"/>
  <c r="M35" i="1" s="1"/>
  <c r="L38" i="1"/>
  <c r="M38" i="1" s="1"/>
  <c r="L54" i="1"/>
  <c r="M54" i="1" s="1"/>
  <c r="L104" i="1"/>
  <c r="M104" i="1" s="1"/>
  <c r="L98" i="1"/>
  <c r="M98" i="1" s="1"/>
  <c r="L86" i="1"/>
  <c r="M86" i="1" s="1"/>
  <c r="L46" i="1"/>
  <c r="M46" i="1" s="1"/>
  <c r="L20" i="1"/>
  <c r="M20" i="1" s="1"/>
  <c r="L110" i="1"/>
  <c r="M110" i="1" s="1"/>
  <c r="L69" i="1"/>
  <c r="M69" i="1" s="1"/>
  <c r="L51" i="1"/>
  <c r="M51" i="1" s="1"/>
  <c r="L17" i="1"/>
  <c r="M17" i="1" s="1"/>
  <c r="L34" i="1"/>
  <c r="M34" i="1" s="1"/>
  <c r="L83" i="1"/>
  <c r="M83" i="1" s="1"/>
  <c r="L40" i="1"/>
  <c r="M40" i="1" s="1"/>
  <c r="L37" i="1"/>
  <c r="M37" i="1" s="1"/>
  <c r="L31" i="1"/>
  <c r="M31" i="1" s="1"/>
  <c r="L92" i="1"/>
  <c r="M92" i="1" s="1"/>
  <c r="L36" i="1"/>
  <c r="M36" i="1" s="1"/>
  <c r="L26" i="1"/>
  <c r="M26" i="1" s="1"/>
  <c r="L71" i="1"/>
  <c r="M71" i="1" s="1"/>
  <c r="L39" i="1"/>
  <c r="M39" i="1" s="1"/>
  <c r="L21" i="1"/>
  <c r="M21" i="1" s="1"/>
  <c r="L10" i="1"/>
  <c r="M10" i="1" s="1"/>
  <c r="L63" i="1"/>
  <c r="M63" i="1" s="1"/>
  <c r="L57" i="1"/>
  <c r="M57" i="1" s="1"/>
  <c r="L13" i="1"/>
  <c r="M13" i="1" s="1"/>
  <c r="L78" i="1"/>
  <c r="M78" i="1" s="1"/>
  <c r="O135" i="1" l="1"/>
  <c r="AC136" i="1"/>
  <c r="AB135" i="1"/>
  <c r="AD135" i="1" s="1"/>
  <c r="O127" i="1"/>
  <c r="N127" i="1"/>
  <c r="AC127" i="1" s="1"/>
  <c r="O130" i="1"/>
  <c r="N130" i="1"/>
  <c r="AC130" i="1" s="1"/>
  <c r="O121" i="1"/>
  <c r="N121" i="1"/>
  <c r="AC121" i="1" s="1"/>
  <c r="N123" i="1"/>
  <c r="O123" i="1"/>
  <c r="N115" i="1"/>
  <c r="O115" i="1"/>
  <c r="AB18" i="18"/>
  <c r="AB26" i="18"/>
  <c r="AB10" i="18"/>
  <c r="AB42" i="18"/>
  <c r="AH26" i="18"/>
  <c r="J18" i="18"/>
  <c r="AH34" i="18"/>
  <c r="V26" i="18"/>
  <c r="O36" i="1"/>
  <c r="P10" i="18"/>
  <c r="AB34" i="18"/>
  <c r="P26" i="18"/>
  <c r="V34" i="18"/>
  <c r="V10" i="18"/>
  <c r="J26" i="18"/>
  <c r="N36" i="1"/>
  <c r="AC36" i="1" s="1"/>
  <c r="AB36" i="1" s="1"/>
  <c r="P42" i="18"/>
  <c r="AH18" i="18"/>
  <c r="AH10" i="18"/>
  <c r="J42" i="18"/>
  <c r="V42" i="18"/>
  <c r="J34" i="18"/>
  <c r="P18" i="18"/>
  <c r="P34" i="18"/>
  <c r="AH42" i="18"/>
  <c r="J10" i="18"/>
  <c r="V18" i="18"/>
  <c r="O34" i="1"/>
  <c r="N34" i="1"/>
  <c r="N98" i="1"/>
  <c r="O98" i="1"/>
  <c r="N57" i="1"/>
  <c r="AC57" i="1" s="1"/>
  <c r="O57" i="1"/>
  <c r="T22" i="18"/>
  <c r="N17" i="1"/>
  <c r="AC17" i="1" s="1"/>
  <c r="T30" i="18"/>
  <c r="AL14" i="18"/>
  <c r="N38" i="18"/>
  <c r="Z30" i="18"/>
  <c r="N22" i="18"/>
  <c r="AL30" i="18"/>
  <c r="AL6" i="18"/>
  <c r="T14" i="18"/>
  <c r="O17" i="1"/>
  <c r="AL22" i="18"/>
  <c r="Z14" i="18"/>
  <c r="AL38" i="18"/>
  <c r="AF22" i="18"/>
  <c r="T6" i="18"/>
  <c r="Z38" i="18"/>
  <c r="N14" i="18"/>
  <c r="N6" i="18"/>
  <c r="AF14" i="18"/>
  <c r="N30" i="18"/>
  <c r="Z6" i="18"/>
  <c r="AF6" i="18"/>
  <c r="AF30" i="18"/>
  <c r="T38" i="18"/>
  <c r="AF38" i="18"/>
  <c r="Z22" i="18"/>
  <c r="N104" i="1"/>
  <c r="O104" i="1"/>
  <c r="N92" i="1"/>
  <c r="O92" i="1"/>
  <c r="O51" i="1"/>
  <c r="N51" i="1"/>
  <c r="AC51" i="1" s="1"/>
  <c r="N54" i="1"/>
  <c r="O54" i="1"/>
  <c r="O63" i="1"/>
  <c r="N63" i="1"/>
  <c r="AC63" i="1" s="1"/>
  <c r="N31" i="1"/>
  <c r="O31" i="1"/>
  <c r="N69" i="1"/>
  <c r="AC69" i="1" s="1"/>
  <c r="O69" i="1"/>
  <c r="O38" i="1"/>
  <c r="J20" i="18"/>
  <c r="P20" i="18"/>
  <c r="V28" i="18"/>
  <c r="J12" i="18"/>
  <c r="J44" i="18"/>
  <c r="AH44" i="18"/>
  <c r="J36" i="18"/>
  <c r="AB28" i="18"/>
  <c r="P36" i="18"/>
  <c r="AB20" i="18"/>
  <c r="P28" i="18"/>
  <c r="AB36" i="18"/>
  <c r="AB44" i="18"/>
  <c r="P12" i="18"/>
  <c r="V44" i="18"/>
  <c r="AH28" i="18"/>
  <c r="J28" i="18"/>
  <c r="AH20" i="18"/>
  <c r="V36" i="18"/>
  <c r="P44" i="18"/>
  <c r="AH36" i="18"/>
  <c r="V20" i="18"/>
  <c r="V12" i="18"/>
  <c r="AH12" i="18"/>
  <c r="AB12" i="18"/>
  <c r="N38" i="1"/>
  <c r="AC38" i="1" s="1"/>
  <c r="AB38" i="1" s="1"/>
  <c r="N78" i="1"/>
  <c r="AC78" i="1" s="1"/>
  <c r="O78" i="1"/>
  <c r="AD24" i="18"/>
  <c r="AJ8" i="18"/>
  <c r="AJ40" i="18"/>
  <c r="AJ32" i="18"/>
  <c r="N21" i="1"/>
  <c r="AC21" i="1" s="1"/>
  <c r="R16" i="18"/>
  <c r="L16" i="18"/>
  <c r="AD8" i="18"/>
  <c r="R40" i="18"/>
  <c r="AD40" i="18"/>
  <c r="R24" i="18"/>
  <c r="X40" i="18"/>
  <c r="L40" i="18"/>
  <c r="AD32" i="18"/>
  <c r="L8" i="18"/>
  <c r="O21" i="1"/>
  <c r="X16" i="18"/>
  <c r="AD16" i="18"/>
  <c r="R32" i="18"/>
  <c r="L32" i="18"/>
  <c r="L24" i="18"/>
  <c r="AJ16" i="18"/>
  <c r="X8" i="18"/>
  <c r="AJ24" i="18"/>
  <c r="R8" i="18"/>
  <c r="X24" i="18"/>
  <c r="X32" i="18"/>
  <c r="AL26" i="18"/>
  <c r="AL18" i="18"/>
  <c r="O37" i="1"/>
  <c r="Z42" i="18"/>
  <c r="AF26" i="18"/>
  <c r="N10" i="18"/>
  <c r="AL42" i="18"/>
  <c r="T18" i="18"/>
  <c r="Z10" i="18"/>
  <c r="AF18" i="18"/>
  <c r="N34" i="18"/>
  <c r="AF34" i="18"/>
  <c r="N18" i="18"/>
  <c r="Z26" i="18"/>
  <c r="T42" i="18"/>
  <c r="AF42" i="18"/>
  <c r="T26" i="18"/>
  <c r="AL34" i="18"/>
  <c r="N42" i="18"/>
  <c r="AF10" i="18"/>
  <c r="N37" i="1"/>
  <c r="AC37" i="1" s="1"/>
  <c r="AB37" i="1" s="1"/>
  <c r="Z18" i="18"/>
  <c r="T34" i="18"/>
  <c r="Z34" i="18"/>
  <c r="AL10" i="18"/>
  <c r="N26" i="18"/>
  <c r="T10" i="18"/>
  <c r="N110" i="1"/>
  <c r="O110" i="1"/>
  <c r="T8" i="18"/>
  <c r="AL40" i="18"/>
  <c r="N40" i="18"/>
  <c r="Z16" i="18"/>
  <c r="Z24" i="18"/>
  <c r="AF24" i="18"/>
  <c r="N8" i="18"/>
  <c r="AF32" i="18"/>
  <c r="T24" i="18"/>
  <c r="N24" i="18"/>
  <c r="AL16" i="18"/>
  <c r="AL24" i="18"/>
  <c r="T32" i="18"/>
  <c r="T40" i="18"/>
  <c r="O35" i="1"/>
  <c r="N35" i="1"/>
  <c r="AC35" i="1" s="1"/>
  <c r="AB35" i="1" s="1"/>
  <c r="Z32" i="18"/>
  <c r="T16" i="18"/>
  <c r="Z40" i="18"/>
  <c r="AF40" i="18"/>
  <c r="N32" i="18"/>
  <c r="Z8" i="18"/>
  <c r="AL8" i="18"/>
  <c r="N16" i="18"/>
  <c r="AF16" i="18"/>
  <c r="AF8" i="18"/>
  <c r="AL32" i="18"/>
  <c r="N71" i="1"/>
  <c r="O71" i="1"/>
  <c r="V38" i="18"/>
  <c r="J30" i="18"/>
  <c r="AB30" i="18"/>
  <c r="P38" i="18"/>
  <c r="AH14" i="18"/>
  <c r="J22" i="18"/>
  <c r="AH38" i="18"/>
  <c r="AB6" i="18"/>
  <c r="J6" i="18"/>
  <c r="J14" i="18"/>
  <c r="N10" i="1"/>
  <c r="AC10" i="1" s="1"/>
  <c r="P30" i="18"/>
  <c r="P14" i="18"/>
  <c r="AB22" i="18"/>
  <c r="AH30" i="18"/>
  <c r="AH22" i="18"/>
  <c r="P6" i="18"/>
  <c r="V22" i="18"/>
  <c r="V30" i="18"/>
  <c r="J38" i="18"/>
  <c r="V14" i="18"/>
  <c r="AB14" i="18"/>
  <c r="AH6" i="18"/>
  <c r="O10" i="1"/>
  <c r="P22" i="18"/>
  <c r="AB38" i="18"/>
  <c r="V6" i="18"/>
  <c r="N39" i="1"/>
  <c r="AC39" i="1" s="1"/>
  <c r="AB39" i="1" s="1"/>
  <c r="AD39" i="1" s="1"/>
  <c r="O39" i="1"/>
  <c r="X42" i="18"/>
  <c r="X34" i="18"/>
  <c r="L18" i="18"/>
  <c r="X26" i="18"/>
  <c r="AD34" i="18"/>
  <c r="X10" i="18"/>
  <c r="AJ26" i="18"/>
  <c r="AJ18" i="18"/>
  <c r="AD10" i="18"/>
  <c r="R18" i="18"/>
  <c r="AD18" i="18"/>
  <c r="AD26" i="18"/>
  <c r="AJ10" i="18"/>
  <c r="R34" i="18"/>
  <c r="L10" i="18"/>
  <c r="AD42" i="18"/>
  <c r="L34" i="18"/>
  <c r="L42" i="18"/>
  <c r="AJ34" i="18"/>
  <c r="AJ42" i="18"/>
  <c r="L26" i="18"/>
  <c r="R26" i="18"/>
  <c r="R10" i="18"/>
  <c r="X18" i="18"/>
  <c r="R42" i="18"/>
  <c r="AH32" i="18"/>
  <c r="V40" i="18"/>
  <c r="AH8" i="18"/>
  <c r="O20" i="1"/>
  <c r="AB24" i="18"/>
  <c r="P16" i="18"/>
  <c r="AH40" i="18"/>
  <c r="V16" i="18"/>
  <c r="P40" i="18"/>
  <c r="J8" i="18"/>
  <c r="N20" i="1"/>
  <c r="AC20" i="1" s="1"/>
  <c r="AB20" i="1" s="1"/>
  <c r="V32" i="18"/>
  <c r="AB32" i="18"/>
  <c r="J16" i="18"/>
  <c r="AH16" i="18"/>
  <c r="AB8" i="18"/>
  <c r="P32" i="18"/>
  <c r="AB16" i="18"/>
  <c r="J24" i="18"/>
  <c r="J40" i="18"/>
  <c r="V24" i="18"/>
  <c r="V8" i="18"/>
  <c r="J32" i="18"/>
  <c r="AB40" i="18"/>
  <c r="P24" i="18"/>
  <c r="AH24" i="18"/>
  <c r="P8" i="18"/>
  <c r="N59" i="1"/>
  <c r="AC59" i="1" s="1"/>
  <c r="O59" i="1"/>
  <c r="N40" i="1"/>
  <c r="AC40" i="1" s="1"/>
  <c r="O40" i="1"/>
  <c r="N46" i="1"/>
  <c r="AC46" i="1" s="1"/>
  <c r="O46" i="1"/>
  <c r="N75" i="1"/>
  <c r="AC75" i="1" s="1"/>
  <c r="O75" i="1"/>
  <c r="AJ30" i="18"/>
  <c r="AD22" i="18"/>
  <c r="AD30" i="18"/>
  <c r="AD14" i="18"/>
  <c r="R22" i="18"/>
  <c r="N13" i="1"/>
  <c r="AC13" i="1" s="1"/>
  <c r="AJ38" i="18"/>
  <c r="R6" i="18"/>
  <c r="L6" i="18"/>
  <c r="X14" i="18"/>
  <c r="AJ22" i="18"/>
  <c r="R30" i="18"/>
  <c r="L30" i="18"/>
  <c r="X30" i="18"/>
  <c r="X22" i="18"/>
  <c r="R38" i="18"/>
  <c r="L14" i="18"/>
  <c r="X38" i="18"/>
  <c r="AJ14" i="18"/>
  <c r="L22" i="18"/>
  <c r="AD38" i="18"/>
  <c r="R14" i="18"/>
  <c r="AJ6" i="18"/>
  <c r="X6" i="18"/>
  <c r="O13" i="1"/>
  <c r="AD6" i="18"/>
  <c r="L38" i="18"/>
  <c r="N26" i="1"/>
  <c r="O26" i="1"/>
  <c r="N83" i="1"/>
  <c r="O83" i="1"/>
  <c r="N86" i="1"/>
  <c r="AC86" i="1" s="1"/>
  <c r="AB86" i="1" s="1"/>
  <c r="AD86" i="1" s="1"/>
  <c r="O86" i="1"/>
  <c r="N112" i="1"/>
  <c r="AC112" i="1" s="1"/>
  <c r="O112" i="1"/>
  <c r="AB136" i="1" l="1"/>
  <c r="AD136" i="1" s="1"/>
  <c r="AC128" i="1"/>
  <c r="AB127" i="1"/>
  <c r="AD127" i="1" s="1"/>
  <c r="AC124" i="1"/>
  <c r="AC123" i="1"/>
  <c r="AB123" i="1" s="1"/>
  <c r="AD123" i="1" s="1"/>
  <c r="AC122" i="1"/>
  <c r="AB122" i="1" s="1"/>
  <c r="AD122" i="1" s="1"/>
  <c r="AB121" i="1"/>
  <c r="AD121" i="1" s="1"/>
  <c r="AC131" i="1"/>
  <c r="AB130" i="1"/>
  <c r="AD130" i="1" s="1"/>
  <c r="AB14" i="19"/>
  <c r="AD37" i="1"/>
  <c r="V54" i="19"/>
  <c r="AB44" i="19"/>
  <c r="AB24" i="19"/>
  <c r="P24" i="19"/>
  <c r="P54" i="19"/>
  <c r="AH24" i="19"/>
  <c r="J24" i="19"/>
  <c r="AH54" i="19"/>
  <c r="V24" i="19"/>
  <c r="AH34" i="19"/>
  <c r="V14" i="19"/>
  <c r="J14" i="19"/>
  <c r="AB34" i="19"/>
  <c r="V44" i="19"/>
  <c r="J44" i="19"/>
  <c r="AB54" i="19"/>
  <c r="P34" i="19"/>
  <c r="AH14" i="19"/>
  <c r="V34" i="19"/>
  <c r="P44" i="19"/>
  <c r="J54" i="19"/>
  <c r="P14" i="19"/>
  <c r="AH44" i="19"/>
  <c r="J34" i="19"/>
  <c r="V32" i="19"/>
  <c r="AB52" i="19"/>
  <c r="J52" i="19"/>
  <c r="P32" i="19"/>
  <c r="AB42" i="19"/>
  <c r="AB22" i="19"/>
  <c r="P12" i="19"/>
  <c r="P42" i="19"/>
  <c r="AD36" i="1"/>
  <c r="AH12" i="19"/>
  <c r="AB12" i="19"/>
  <c r="V42" i="19"/>
  <c r="AH52" i="19"/>
  <c r="P52" i="19"/>
  <c r="J12" i="19"/>
  <c r="J22" i="19"/>
  <c r="J42" i="19"/>
  <c r="AH32" i="19"/>
  <c r="V12" i="19"/>
  <c r="AH22" i="19"/>
  <c r="J32" i="19"/>
  <c r="V22" i="19"/>
  <c r="AH42" i="19"/>
  <c r="AB32" i="19"/>
  <c r="V52" i="19"/>
  <c r="P22" i="19"/>
  <c r="AB46" i="1"/>
  <c r="AD46" i="1" s="1"/>
  <c r="AC47" i="1"/>
  <c r="AB21" i="1"/>
  <c r="AC22" i="1"/>
  <c r="AC54" i="1"/>
  <c r="AB54" i="1" s="1"/>
  <c r="AD54" i="1" s="1"/>
  <c r="AC55" i="1"/>
  <c r="AB17" i="1"/>
  <c r="AC18" i="1"/>
  <c r="AB40" i="1"/>
  <c r="AD40" i="1" s="1"/>
  <c r="AC41" i="1"/>
  <c r="AB51" i="1"/>
  <c r="AD51" i="1" s="1"/>
  <c r="AC52" i="1"/>
  <c r="AB112" i="1"/>
  <c r="AD112" i="1" s="1"/>
  <c r="AC113" i="1"/>
  <c r="AB69" i="1"/>
  <c r="AD69" i="1" s="1"/>
  <c r="AC70" i="1"/>
  <c r="AB70" i="1" s="1"/>
  <c r="AD70" i="1" s="1"/>
  <c r="AC71" i="1"/>
  <c r="AB71" i="1" s="1"/>
  <c r="AD71" i="1" s="1"/>
  <c r="AC72" i="1"/>
  <c r="AB59" i="1"/>
  <c r="AD59" i="1" s="1"/>
  <c r="AC60" i="1"/>
  <c r="AD20" i="1"/>
  <c r="J9" i="19"/>
  <c r="AB9" i="19"/>
  <c r="P19" i="19"/>
  <c r="AB39" i="19"/>
  <c r="AH19" i="19"/>
  <c r="AB29" i="19"/>
  <c r="V9" i="19"/>
  <c r="P9" i="19"/>
  <c r="AH29" i="19"/>
  <c r="P49" i="19"/>
  <c r="AH49" i="19"/>
  <c r="P29" i="19"/>
  <c r="V39" i="19"/>
  <c r="V29" i="19"/>
  <c r="J49" i="19"/>
  <c r="AB19" i="19"/>
  <c r="J19" i="19"/>
  <c r="V19" i="19"/>
  <c r="AH9" i="19"/>
  <c r="AH39" i="19"/>
  <c r="J29" i="19"/>
  <c r="V49" i="19"/>
  <c r="AB49" i="19"/>
  <c r="J39" i="19"/>
  <c r="P39" i="19"/>
  <c r="AC12" i="1"/>
  <c r="AB12" i="1" s="1"/>
  <c r="AC11" i="1"/>
  <c r="AB11" i="1" s="1"/>
  <c r="AB10" i="1"/>
  <c r="J31" i="19"/>
  <c r="P21" i="19"/>
  <c r="V51" i="19"/>
  <c r="AB41" i="19"/>
  <c r="V41" i="19"/>
  <c r="J51" i="19"/>
  <c r="AD35" i="1"/>
  <c r="V31" i="19"/>
  <c r="AH51" i="19"/>
  <c r="AH41" i="19"/>
  <c r="AH21" i="19"/>
  <c r="AH11" i="19"/>
  <c r="J11" i="19"/>
  <c r="P41" i="19"/>
  <c r="AB11" i="19"/>
  <c r="J41" i="19"/>
  <c r="V11" i="19"/>
  <c r="J21" i="19"/>
  <c r="P51" i="19"/>
  <c r="P11" i="19"/>
  <c r="AB21" i="19"/>
  <c r="AB31" i="19"/>
  <c r="V21" i="19"/>
  <c r="P31" i="19"/>
  <c r="AB51" i="19"/>
  <c r="AH31" i="19"/>
  <c r="AB75" i="1"/>
  <c r="AD75" i="1" s="1"/>
  <c r="AC76" i="1"/>
  <c r="AB78" i="1"/>
  <c r="AD78" i="1" s="1"/>
  <c r="AC79" i="1"/>
  <c r="AB63" i="1"/>
  <c r="AD63" i="1" s="1"/>
  <c r="AC64" i="1"/>
  <c r="AB57" i="1"/>
  <c r="AD57" i="1" s="1"/>
  <c r="AC58" i="1"/>
  <c r="AB58" i="1" s="1"/>
  <c r="AD58" i="1" s="1"/>
  <c r="AB13" i="1"/>
  <c r="AC14" i="1"/>
  <c r="V25" i="19"/>
  <c r="P45" i="19"/>
  <c r="J55" i="19"/>
  <c r="P35" i="19"/>
  <c r="V15" i="19"/>
  <c r="AB55" i="19"/>
  <c r="J45" i="19"/>
  <c r="V45" i="19"/>
  <c r="V55" i="19"/>
  <c r="AH15" i="19"/>
  <c r="P25" i="19"/>
  <c r="J15" i="19"/>
  <c r="J35" i="19"/>
  <c r="AD38" i="1"/>
  <c r="AB45" i="19"/>
  <c r="AH45" i="19"/>
  <c r="AB25" i="19"/>
  <c r="AB35" i="19"/>
  <c r="AB15" i="19"/>
  <c r="P15" i="19"/>
  <c r="AH55" i="19"/>
  <c r="P55" i="19"/>
  <c r="V35" i="19"/>
  <c r="AH25" i="19"/>
  <c r="J25" i="19"/>
  <c r="AH35" i="19"/>
  <c r="AB131" i="1" l="1"/>
  <c r="AD131" i="1" s="1"/>
  <c r="AC132" i="1"/>
  <c r="AC125" i="1"/>
  <c r="AB124" i="1"/>
  <c r="AD124" i="1" s="1"/>
  <c r="AC129" i="1"/>
  <c r="AB129" i="1" s="1"/>
  <c r="AD129" i="1" s="1"/>
  <c r="AB128" i="1"/>
  <c r="AD128" i="1" s="1"/>
  <c r="AB79" i="1"/>
  <c r="AD79" i="1" s="1"/>
  <c r="AC80" i="1"/>
  <c r="X36" i="19"/>
  <c r="R46" i="19"/>
  <c r="L16" i="19"/>
  <c r="AD12" i="1"/>
  <c r="AD36" i="19"/>
  <c r="R26" i="19"/>
  <c r="L6" i="19"/>
  <c r="AJ6" i="19"/>
  <c r="X16" i="19"/>
  <c r="R36" i="19"/>
  <c r="AD26" i="19"/>
  <c r="AD46" i="19"/>
  <c r="R16" i="19"/>
  <c r="AJ16" i="19"/>
  <c r="X6" i="19"/>
  <c r="AD16" i="19"/>
  <c r="L26" i="19"/>
  <c r="L46" i="19"/>
  <c r="X26" i="19"/>
  <c r="AJ46" i="19"/>
  <c r="AJ26" i="19"/>
  <c r="AJ36" i="19"/>
  <c r="X46" i="19"/>
  <c r="AD6" i="19"/>
  <c r="R6" i="19"/>
  <c r="L36" i="19"/>
  <c r="V28" i="19"/>
  <c r="J38" i="19"/>
  <c r="AB38" i="19"/>
  <c r="V8" i="19"/>
  <c r="J28" i="19"/>
  <c r="AH48" i="19"/>
  <c r="P48" i="19"/>
  <c r="AH18" i="19"/>
  <c r="V38" i="19"/>
  <c r="AB18" i="19"/>
  <c r="J48" i="19"/>
  <c r="AB48" i="19"/>
  <c r="P28" i="19"/>
  <c r="AH28" i="19"/>
  <c r="AB8" i="19"/>
  <c r="P8" i="19"/>
  <c r="J8" i="19"/>
  <c r="P38" i="19"/>
  <c r="AH8" i="19"/>
  <c r="V18" i="19"/>
  <c r="V48" i="19"/>
  <c r="AB28" i="19"/>
  <c r="AD17" i="1"/>
  <c r="P18" i="19"/>
  <c r="J18" i="19"/>
  <c r="AH38" i="19"/>
  <c r="AB18" i="1"/>
  <c r="AC19" i="1"/>
  <c r="AB19" i="1" s="1"/>
  <c r="AB113" i="1"/>
  <c r="AD113" i="1" s="1"/>
  <c r="AC114" i="1"/>
  <c r="AB55" i="1"/>
  <c r="AD55" i="1" s="1"/>
  <c r="AC56" i="1"/>
  <c r="AB56" i="1" s="1"/>
  <c r="AD56" i="1" s="1"/>
  <c r="AB14" i="1"/>
  <c r="AC15" i="1"/>
  <c r="AI46" i="19"/>
  <c r="K6" i="19"/>
  <c r="AC46" i="19"/>
  <c r="Q6" i="19"/>
  <c r="K26" i="19"/>
  <c r="AI36" i="19"/>
  <c r="W36" i="19"/>
  <c r="AC16" i="19"/>
  <c r="AI6" i="19"/>
  <c r="AI26" i="19"/>
  <c r="Q16" i="19"/>
  <c r="AC36" i="19"/>
  <c r="W16" i="19"/>
  <c r="AI16" i="19"/>
  <c r="AC6" i="19"/>
  <c r="W26" i="19"/>
  <c r="Q46" i="19"/>
  <c r="AC26" i="19"/>
  <c r="K16" i="19"/>
  <c r="K36" i="19"/>
  <c r="Q36" i="19"/>
  <c r="K46" i="19"/>
  <c r="Q26" i="19"/>
  <c r="W6" i="19"/>
  <c r="AD11" i="1"/>
  <c r="W46" i="19"/>
  <c r="AB76" i="1"/>
  <c r="AD76" i="1" s="1"/>
  <c r="AC77" i="1"/>
  <c r="AB77" i="1" s="1"/>
  <c r="AD77" i="1" s="1"/>
  <c r="AH37" i="19"/>
  <c r="AB17" i="19"/>
  <c r="V17" i="19"/>
  <c r="J17" i="19"/>
  <c r="AB37" i="19"/>
  <c r="AH17" i="19"/>
  <c r="V27" i="19"/>
  <c r="V7" i="19"/>
  <c r="AH47" i="19"/>
  <c r="AB27" i="19"/>
  <c r="J47" i="19"/>
  <c r="P17" i="19"/>
  <c r="P47" i="19"/>
  <c r="P27" i="19"/>
  <c r="J7" i="19"/>
  <c r="J37" i="19"/>
  <c r="AH27" i="19"/>
  <c r="P37" i="19"/>
  <c r="AH7" i="19"/>
  <c r="P7" i="19"/>
  <c r="V47" i="19"/>
  <c r="AB7" i="19"/>
  <c r="AB47" i="19"/>
  <c r="AD13" i="1"/>
  <c r="V37" i="19"/>
  <c r="J27" i="19"/>
  <c r="AB60" i="1"/>
  <c r="AD60" i="1" s="1"/>
  <c r="AC61" i="1"/>
  <c r="AC53" i="1"/>
  <c r="AB53" i="1" s="1"/>
  <c r="AD53" i="1" s="1"/>
  <c r="AB52" i="1"/>
  <c r="AD52" i="1" s="1"/>
  <c r="AC23" i="1"/>
  <c r="AB23" i="1" s="1"/>
  <c r="AB22" i="1"/>
  <c r="AC24" i="1"/>
  <c r="AB24" i="1" s="1"/>
  <c r="P10" i="19"/>
  <c r="AH30" i="19"/>
  <c r="J20" i="19"/>
  <c r="AB50" i="19"/>
  <c r="AH40" i="19"/>
  <c r="P40" i="19"/>
  <c r="J40" i="19"/>
  <c r="J50" i="19"/>
  <c r="J10" i="19"/>
  <c r="V40" i="19"/>
  <c r="V30" i="19"/>
  <c r="AB40" i="19"/>
  <c r="AB20" i="19"/>
  <c r="AB30" i="19"/>
  <c r="AH20" i="19"/>
  <c r="P30" i="19"/>
  <c r="AH50" i="19"/>
  <c r="J30" i="19"/>
  <c r="V50" i="19"/>
  <c r="AD21" i="1"/>
  <c r="V20" i="19"/>
  <c r="P50" i="19"/>
  <c r="V10" i="19"/>
  <c r="AH10" i="19"/>
  <c r="AB10" i="19"/>
  <c r="P20" i="19"/>
  <c r="AB72" i="1"/>
  <c r="AD72" i="1" s="1"/>
  <c r="AC73" i="1"/>
  <c r="AB41" i="1"/>
  <c r="AD41" i="1" s="1"/>
  <c r="AC42" i="1"/>
  <c r="AB47" i="1"/>
  <c r="AD47" i="1" s="1"/>
  <c r="AC48" i="1"/>
  <c r="AB64" i="1"/>
  <c r="AD64" i="1" s="1"/>
  <c r="AC65" i="1"/>
  <c r="P6" i="19"/>
  <c r="J26" i="19"/>
  <c r="V46" i="19"/>
  <c r="AD10" i="1"/>
  <c r="V16" i="19"/>
  <c r="P16" i="19"/>
  <c r="J16" i="19"/>
  <c r="J6" i="19"/>
  <c r="AB26" i="19"/>
  <c r="J36" i="19"/>
  <c r="V6" i="19"/>
  <c r="AH36" i="19"/>
  <c r="AB16" i="19"/>
  <c r="V36" i="19"/>
  <c r="P26" i="19"/>
  <c r="AH26" i="19"/>
  <c r="AH16" i="19"/>
  <c r="P46" i="19"/>
  <c r="AH46" i="19"/>
  <c r="AB46" i="19"/>
  <c r="J46" i="19"/>
  <c r="AB6" i="19"/>
  <c r="V26" i="19"/>
  <c r="AB36" i="19"/>
  <c r="P36" i="19"/>
  <c r="AH6" i="19"/>
  <c r="AB125" i="1" l="1"/>
  <c r="AD125" i="1" s="1"/>
  <c r="AC126" i="1"/>
  <c r="AB126" i="1" s="1"/>
  <c r="AD126" i="1" s="1"/>
  <c r="AB132" i="1"/>
  <c r="AD132" i="1" s="1"/>
  <c r="AC133" i="1"/>
  <c r="AB114" i="1"/>
  <c r="AD114" i="1" s="1"/>
  <c r="AD19" i="1"/>
  <c r="L8" i="19"/>
  <c r="R28" i="19"/>
  <c r="L38" i="19"/>
  <c r="R38" i="19"/>
  <c r="L18" i="19"/>
  <c r="X38" i="19"/>
  <c r="X18" i="19"/>
  <c r="L48" i="19"/>
  <c r="R8" i="19"/>
  <c r="AD48" i="19"/>
  <c r="AD28" i="19"/>
  <c r="AD18" i="19"/>
  <c r="AD8" i="19"/>
  <c r="R48" i="19"/>
  <c r="AD38" i="19"/>
  <c r="AJ48" i="19"/>
  <c r="AJ28" i="19"/>
  <c r="X48" i="19"/>
  <c r="R18" i="19"/>
  <c r="AJ8" i="19"/>
  <c r="AJ38" i="19"/>
  <c r="X28" i="19"/>
  <c r="X8" i="19"/>
  <c r="L28" i="19"/>
  <c r="AJ18" i="19"/>
  <c r="AB61" i="1"/>
  <c r="AD61" i="1" s="1"/>
  <c r="AC62" i="1"/>
  <c r="AB62" i="1" s="1"/>
  <c r="AD62" i="1" s="1"/>
  <c r="AB15" i="1"/>
  <c r="AC16" i="1"/>
  <c r="AB16" i="1" s="1"/>
  <c r="Q48" i="19"/>
  <c r="Q18" i="19"/>
  <c r="W18" i="19"/>
  <c r="AC18" i="19"/>
  <c r="AC28" i="19"/>
  <c r="K28" i="19"/>
  <c r="AI38" i="19"/>
  <c r="W28" i="19"/>
  <c r="AI28" i="19"/>
  <c r="Q28" i="19"/>
  <c r="AC8" i="19"/>
  <c r="AC48" i="19"/>
  <c r="K8" i="19"/>
  <c r="K18" i="19"/>
  <c r="AD18" i="1"/>
  <c r="W8" i="19"/>
  <c r="K38" i="19"/>
  <c r="K48" i="19"/>
  <c r="AI18" i="19"/>
  <c r="W48" i="19"/>
  <c r="AI8" i="19"/>
  <c r="Q38" i="19"/>
  <c r="AC38" i="19"/>
  <c r="AI48" i="19"/>
  <c r="W38" i="19"/>
  <c r="Q8" i="19"/>
  <c r="AB65" i="1"/>
  <c r="AD65" i="1" s="1"/>
  <c r="AC66" i="1"/>
  <c r="Q17" i="19"/>
  <c r="K37" i="19"/>
  <c r="AI17" i="19"/>
  <c r="W7" i="19"/>
  <c r="W17" i="19"/>
  <c r="Q47" i="19"/>
  <c r="W27" i="19"/>
  <c r="K27" i="19"/>
  <c r="AC37" i="19"/>
  <c r="AC17" i="19"/>
  <c r="K47" i="19"/>
  <c r="Q7" i="19"/>
  <c r="AC7" i="19"/>
  <c r="Q27" i="19"/>
  <c r="Q37" i="19"/>
  <c r="W37" i="19"/>
  <c r="K17" i="19"/>
  <c r="AI7" i="19"/>
  <c r="AD14" i="1"/>
  <c r="W47" i="19"/>
  <c r="AC47" i="19"/>
  <c r="AI47" i="19"/>
  <c r="K7" i="19"/>
  <c r="AC27" i="19"/>
  <c r="AI37" i="19"/>
  <c r="AI27" i="19"/>
  <c r="AB48" i="1"/>
  <c r="AD48" i="1" s="1"/>
  <c r="AC49" i="1"/>
  <c r="M10" i="19"/>
  <c r="M30" i="19"/>
  <c r="AE10" i="19"/>
  <c r="AK20" i="19"/>
  <c r="AE50" i="19"/>
  <c r="S20" i="19"/>
  <c r="AE40" i="19"/>
  <c r="AK10" i="19"/>
  <c r="AE20" i="19"/>
  <c r="M50" i="19"/>
  <c r="Y30" i="19"/>
  <c r="AK30" i="19"/>
  <c r="S50" i="19"/>
  <c r="AK40" i="19"/>
  <c r="M20" i="19"/>
  <c r="Y40" i="19"/>
  <c r="S10" i="19"/>
  <c r="AD24" i="1"/>
  <c r="S40" i="19"/>
  <c r="Y50" i="19"/>
  <c r="Y20" i="19"/>
  <c r="AE30" i="19"/>
  <c r="S30" i="19"/>
  <c r="M40" i="19"/>
  <c r="Y10" i="19"/>
  <c r="AK50" i="19"/>
  <c r="AB73" i="1"/>
  <c r="AD73" i="1" s="1"/>
  <c r="AC74" i="1"/>
  <c r="AB74" i="1" s="1"/>
  <c r="AD74" i="1" s="1"/>
  <c r="W10" i="19"/>
  <c r="AD22" i="1"/>
  <c r="W40" i="19"/>
  <c r="Q20" i="19"/>
  <c r="AC50" i="19"/>
  <c r="K10" i="19"/>
  <c r="K20" i="19"/>
  <c r="Q10" i="19"/>
  <c r="Q40" i="19"/>
  <c r="AC10" i="19"/>
  <c r="Q30" i="19"/>
  <c r="K30" i="19"/>
  <c r="AI10" i="19"/>
  <c r="W50" i="19"/>
  <c r="AI50" i="19"/>
  <c r="AC20" i="19"/>
  <c r="K40" i="19"/>
  <c r="AI20" i="19"/>
  <c r="AI30" i="19"/>
  <c r="Q50" i="19"/>
  <c r="K50" i="19"/>
  <c r="AC30" i="19"/>
  <c r="AC40" i="19"/>
  <c r="W20" i="19"/>
  <c r="AI40" i="19"/>
  <c r="W30" i="19"/>
  <c r="AB80" i="1"/>
  <c r="AD80" i="1" s="1"/>
  <c r="AC81" i="1"/>
  <c r="AB42" i="1"/>
  <c r="AD42" i="1" s="1"/>
  <c r="AC43" i="1"/>
  <c r="R30" i="19"/>
  <c r="AD50" i="19"/>
  <c r="AD40" i="19"/>
  <c r="AD23" i="1"/>
  <c r="AJ30" i="19"/>
  <c r="R10" i="19"/>
  <c r="R40" i="19"/>
  <c r="L10" i="19"/>
  <c r="AJ50" i="19"/>
  <c r="L30" i="19"/>
  <c r="AD10" i="19"/>
  <c r="L50" i="19"/>
  <c r="X30" i="19"/>
  <c r="L20" i="19"/>
  <c r="X40" i="19"/>
  <c r="AJ20" i="19"/>
  <c r="AD20" i="19"/>
  <c r="AJ10" i="19"/>
  <c r="AJ40" i="19"/>
  <c r="L40" i="19"/>
  <c r="R50" i="19"/>
  <c r="AD30" i="19"/>
  <c r="X50" i="19"/>
  <c r="X10" i="19"/>
  <c r="R20" i="19"/>
  <c r="X20" i="19"/>
  <c r="AB133" i="1" l="1"/>
  <c r="AD133" i="1" s="1"/>
  <c r="AC134" i="1"/>
  <c r="AB134" i="1" s="1"/>
  <c r="AD134" i="1" s="1"/>
  <c r="AB43" i="1"/>
  <c r="AD43" i="1" s="1"/>
  <c r="AC44" i="1"/>
  <c r="AB81" i="1"/>
  <c r="AD81" i="1" s="1"/>
  <c r="AC82" i="1"/>
  <c r="AB82" i="1" s="1"/>
  <c r="AD82" i="1" s="1"/>
  <c r="AB49" i="1"/>
  <c r="AD49" i="1" s="1"/>
  <c r="AC50" i="1"/>
  <c r="AB50" i="1" s="1"/>
  <c r="AD50" i="1" s="1"/>
  <c r="Y37" i="19"/>
  <c r="Y27" i="19"/>
  <c r="S17" i="19"/>
  <c r="S27" i="19"/>
  <c r="M27" i="19"/>
  <c r="M7" i="19"/>
  <c r="AE17" i="19"/>
  <c r="AK7" i="19"/>
  <c r="AK17" i="19"/>
  <c r="M37" i="19"/>
  <c r="Y17" i="19"/>
  <c r="Y47" i="19"/>
  <c r="S47" i="19"/>
  <c r="M17" i="19"/>
  <c r="S37" i="19"/>
  <c r="AK47" i="19"/>
  <c r="AK37" i="19"/>
  <c r="Y7" i="19"/>
  <c r="AE47" i="19"/>
  <c r="AE27" i="19"/>
  <c r="S7" i="19"/>
  <c r="AE37" i="19"/>
  <c r="AK27" i="19"/>
  <c r="AE7" i="19"/>
  <c r="M47" i="19"/>
  <c r="AD16" i="1"/>
  <c r="AD47" i="19"/>
  <c r="AJ7" i="19"/>
  <c r="X47" i="19"/>
  <c r="R37" i="19"/>
  <c r="AD37" i="19"/>
  <c r="X17" i="19"/>
  <c r="X7" i="19"/>
  <c r="R47" i="19"/>
  <c r="X27" i="19"/>
  <c r="AJ47" i="19"/>
  <c r="R7" i="19"/>
  <c r="AD17" i="19"/>
  <c r="L27" i="19"/>
  <c r="R17" i="19"/>
  <c r="AJ17" i="19"/>
  <c r="AD7" i="19"/>
  <c r="L17" i="19"/>
  <c r="X37" i="19"/>
  <c r="L47" i="19"/>
  <c r="L7" i="19"/>
  <c r="R27" i="19"/>
  <c r="AJ27" i="19"/>
  <c r="AJ37" i="19"/>
  <c r="L37" i="19"/>
  <c r="AD27" i="19"/>
  <c r="AD15" i="1"/>
  <c r="AB66" i="1"/>
  <c r="AD66" i="1" s="1"/>
  <c r="AC67" i="1"/>
  <c r="AB67" i="1" l="1"/>
  <c r="AD67" i="1" s="1"/>
  <c r="AC68" i="1"/>
  <c r="AB68" i="1" s="1"/>
  <c r="AD68" i="1" s="1"/>
  <c r="AB44" i="1"/>
  <c r="AD44" i="1" s="1"/>
  <c r="AC45" i="1"/>
  <c r="AB45" i="1" s="1"/>
  <c r="AD45" i="1" s="1"/>
</calcChain>
</file>

<file path=xl/sharedStrings.xml><?xml version="1.0" encoding="utf-8"?>
<sst xmlns="http://schemas.openxmlformats.org/spreadsheetml/2006/main" count="1623" uniqueCount="547">
  <si>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</si>
  <si>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</si>
  <si>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</si>
  <si>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</si>
  <si>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</si>
  <si>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</si>
  <si>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</si>
  <si>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</si>
  <si>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</si>
  <si>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</si>
  <si>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</si>
  <si>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</si>
  <si>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</si>
  <si>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</si>
  <si>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</si>
  <si>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</si>
  <si>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</si>
  <si>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</si>
  <si>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</si>
  <si>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</si>
  <si>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</si>
  <si>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</si>
  <si>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</si>
  <si>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</si>
  <si>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</si>
  <si>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</si>
  <si>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</si>
  <si>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</si>
  <si>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</si>
  <si>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</si>
  <si>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</si>
  <si>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</si>
  <si>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</si>
  <si>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</si>
  <si>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</si>
  <si>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</si>
  <si>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</si>
  <si>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</si>
  <si>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</si>
  <si>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</si>
  <si>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</si>
  <si>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</si>
  <si>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</si>
  <si>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</si>
  <si>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</si>
  <si>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</si>
  <si>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</si>
  <si>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</si>
  <si>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</si>
  <si>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</si>
  <si>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</si>
  <si>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</si>
  <si>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</si>
  <si>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</si>
  <si>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</si>
  <si>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</si>
  <si>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</si>
  <si>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</si>
  <si>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</si>
  <si>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</si>
  <si>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</si>
  <si>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</si>
  <si>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</si>
  <si>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</si>
  <si>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</si>
  <si>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</si>
  <si>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</si>
  <si>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</si>
  <si>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</si>
  <si>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</si>
  <si>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</si>
  <si>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</si>
  <si>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</si>
  <si>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</si>
  <si>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</si>
  <si>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</si>
  <si>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</si>
  <si>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</si>
  <si>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</si>
  <si>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</si>
  <si>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</si>
  <si>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</si>
  <si>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</si>
  <si>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</si>
  <si>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</si>
  <si>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</si>
  <si>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</si>
  <si>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</si>
  <si>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</si>
  <si>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</si>
  <si>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</si>
  <si>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</si>
  <si>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</si>
  <si>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</si>
  <si>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</si>
  <si>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</si>
  <si>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</si>
  <si>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</si>
  <si>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</si>
  <si>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</si>
  <si>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</si>
  <si>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</si>
  <si>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</si>
  <si>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</si>
  <si>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</si>
  <si>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</si>
  <si>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</si>
  <si>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</si>
  <si>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</si>
  <si>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</si>
  <si>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</si>
  <si>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</si>
  <si>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</si>
  <si>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</si>
  <si>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</si>
  <si>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</si>
  <si>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</si>
  <si>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</si>
  <si>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</si>
  <si>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</si>
  <si>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</si>
  <si>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</si>
  <si>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</si>
  <si>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</si>
  <si>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</si>
  <si>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</si>
  <si>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</si>
  <si>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</si>
  <si>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</si>
  <si>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</si>
  <si>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</si>
  <si>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</si>
  <si>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</si>
  <si>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</si>
  <si>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</si>
  <si>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</si>
  <si>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</si>
  <si>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</si>
  <si>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</si>
  <si>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</si>
  <si>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</si>
  <si>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</si>
  <si>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</si>
  <si>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</si>
  <si>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</si>
  <si>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</si>
  <si>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</si>
  <si>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</si>
  <si>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</si>
  <si>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</si>
  <si>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</si>
  <si>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</si>
  <si>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</si>
  <si>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</si>
  <si>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</si>
  <si>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</si>
  <si>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</si>
  <si>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</si>
  <si>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</si>
  <si>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</si>
  <si>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</si>
  <si>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</si>
  <si>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</si>
  <si>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</si>
  <si>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</si>
  <si>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</si>
  <si>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</si>
  <si>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</si>
  <si>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</si>
  <si>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</si>
  <si>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</si>
  <si>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</si>
  <si>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</si>
  <si>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</si>
  <si>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</si>
  <si>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</si>
  <si>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</si>
  <si>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</si>
  <si>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</si>
  <si>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</si>
  <si>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</si>
  <si>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</si>
  <si>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</si>
  <si>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</si>
  <si>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</si>
  <si>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</si>
  <si>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</si>
  <si>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</si>
  <si>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</si>
  <si>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</si>
  <si>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</si>
  <si>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</si>
  <si>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</si>
  <si>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</si>
  <si>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</si>
  <si>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</si>
  <si>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</si>
  <si>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</si>
  <si>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</si>
  <si>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</si>
  <si>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</si>
  <si>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</si>
  <si>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</si>
  <si>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</si>
  <si>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</si>
  <si>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</si>
  <si>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</si>
  <si>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</si>
  <si>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</si>
  <si>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</si>
  <si>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</si>
  <si>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</si>
  <si>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</si>
  <si>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Inasistencia del personal a las capcitaciones planeadas.</t>
  </si>
  <si>
    <t>Errores en la operación  procesos y procedimientos asi como la desactualización normativa.</t>
  </si>
  <si>
    <t xml:space="preserve">Plan Estretegico de Talento Humano Mal Formulado </t>
  </si>
  <si>
    <t>Demora en la realización de las actividades de talento humano.</t>
  </si>
  <si>
    <t>Probabilidad de errores en la formulación  de los planes de gestión de talento , presentrando un desgaste administrativo, retraso en el proceso y demora en las actividades planteadas.</t>
  </si>
  <si>
    <t>Actos y comportamiento en contra del codigo de integridad.</t>
  </si>
  <si>
    <t>Imcumpliento de los trabajadores al codigo de integridad y reglamento interno de trabajo.</t>
  </si>
  <si>
    <t>Posibilidad de que se presenten actos que van en contra delcodigo de integirdad por parte de los trabajadores, así como el incumplimiento del reglamento interno de trabajo.</t>
  </si>
  <si>
    <t>Perdida de la informcaión.</t>
  </si>
  <si>
    <t>Por daño de equipos o caida de redes.</t>
  </si>
  <si>
    <t>Cobros de servicios no prestados,</t>
  </si>
  <si>
    <t>No cumplimiento de requisitos por parte del contratista.</t>
  </si>
  <si>
    <t>Fallas en la revisión de la documentación durante la etapa precontractual.</t>
  </si>
  <si>
    <t>No cumplimiento de objeto contractual.</t>
  </si>
  <si>
    <t>Retrasos en la ejecución del contrato.</t>
  </si>
  <si>
    <t>Hallazgos de Entes de Control</t>
  </si>
  <si>
    <t xml:space="preserve">Probabilidad de afectación reputacional  por la  inasistencia del telento humano a cpacitaciones generando incumplimiento en las directrices insitucionales y los planes de gestión de la entidad. </t>
  </si>
  <si>
    <t>Probabilidad  de afectación reputacional  y economica por la  perdida de la información digital y fisica por daño de equipos y caidas de redes  generando traumatismos en el proceso.</t>
  </si>
  <si>
    <t>Posibilidad de afectación  economica por  que el contratista no cumpla con los requisitos contractuales, a causa de que el encargado de revisar la documentación no tenga la experancia necesaria causando la celebración del contrato sin el lleno de requisitos.</t>
  </si>
  <si>
    <t>Probabilidad de afectación economica por el  incumplimiento del objeto contractual por situaciones imputables al contratista causando detrimento a la entidad.</t>
  </si>
  <si>
    <t>Probabilidad de afectación economica por  retrasos en la ejecución contraactual por situaciones externas no imputables al contratista que causarian hallazgos por entes de control</t>
  </si>
  <si>
    <t xml:space="preserve">Calidad de Agua Suministrada </t>
  </si>
  <si>
    <t>No tener implementado el SGC del Laboratorio</t>
  </si>
  <si>
    <t>Posibilidad de afectación  reputacional  por debido a no tener los procedimientos implementados de los estandares de calidad.</t>
  </si>
  <si>
    <t>Posibilidad de afectación  reputacional  por debido a la falta de entrenamiento y capacitación al personal que interfiere en el proceso de control de calidad teniendo en cuenta la continua rotación del personal.</t>
  </si>
  <si>
    <t xml:space="preserve">Falta de equipos de laboratorio </t>
  </si>
  <si>
    <t>Aumento del IRCA</t>
  </si>
  <si>
    <t xml:space="preserve">Fallas en los equipos de potabiliazción </t>
  </si>
  <si>
    <t xml:space="preserve">Posibilidad de afectación  reputacional   debido a la fallta de equipos de respaldo para el analisis de muestras </t>
  </si>
  <si>
    <t>Posibilidad de afectación  reputacional y economica por el  aumento del IRCA fuera del rango normativo debido a fallas en los equipos de potabiliazación de agua y falta de capacitación y entrenamiento del personal del área operativa.</t>
  </si>
  <si>
    <t>Daños en Infraestructura de la Bocatoma</t>
  </si>
  <si>
    <t xml:space="preserve">Posibilidad de afectación economica por  daños en la bocatoma del embalse La Maria  por perdida del muro de conteción </t>
  </si>
  <si>
    <t xml:space="preserve">Talento Humano </t>
  </si>
  <si>
    <t>Falta de Supervición</t>
  </si>
  <si>
    <t xml:space="preserve">Posibilidad de afectación  reputacional por falta de supervición y seguiimiento al personal operario de planta debido a que se puede ver afectado la prestación del servicio de acueducto </t>
  </si>
  <si>
    <t xml:space="preserve">Falta de Maquinaria </t>
  </si>
  <si>
    <t xml:space="preserve">Posibilidad de afectación  reputacional y economica a la calidad del servicio y la cobertura debido a la falta de equipos de monitoreo  continuo y fugas de gas cloro </t>
  </si>
  <si>
    <t xml:space="preserve">Gestión de Talento Humano </t>
  </si>
  <si>
    <t xml:space="preserve">Gestión Comercial y Atención al Cliente </t>
  </si>
  <si>
    <t>Gestión Contraactual</t>
  </si>
  <si>
    <t xml:space="preserve">Control de Calidad del Agua </t>
  </si>
  <si>
    <t xml:space="preserve">Servicio de Acueducto </t>
  </si>
  <si>
    <t xml:space="preserve">Actos Inseguros </t>
  </si>
  <si>
    <t xml:space="preserve">Falta de Participación en Capacitaciones </t>
  </si>
  <si>
    <t>Posibilidad de afectación  reputacional y economica debido a incidentes y accidentes laborales generando retrasos en las actividades esto por la poca participación de los trabajadores a las capacitaciones del SG-SST</t>
  </si>
  <si>
    <t>Seguridad y Salud en el Trabajo</t>
  </si>
  <si>
    <t>Incendios</t>
  </si>
  <si>
    <t xml:space="preserve">Caida de Tanque de Distribución </t>
  </si>
  <si>
    <t xml:space="preserve">Falta de Mantenimiento </t>
  </si>
  <si>
    <t>Posibilidad de afectación  economica debido a incendios que generan por falta de mantenimiento de las instalaciones  o no apagar los equipos correctamente.</t>
  </si>
  <si>
    <t>Posibilidad de afectación  economica debido a  la caida del tanque de distribución encima del Kiosco losFontaneros por falta de mantenimiento</t>
  </si>
  <si>
    <t>Incumplimento de Protocolos de Bioseguridad</t>
  </si>
  <si>
    <t xml:space="preserve">Contagios de Covid </t>
  </si>
  <si>
    <t>Posibilidad de afectación  reputacional  debido al no cumpliento de  protocolos de bioseguridad por parte de los trabajores de la empresa generando contagios masivos que afecten el funcionamiento de la empresa.</t>
  </si>
  <si>
    <t xml:space="preserve">Falta de ejecución de Plan de Mantenimiento Preventivo y Correctivo </t>
  </si>
  <si>
    <t>Posibilidad de afectación  economica debido a la falta de mantenimiento a las estaciones de bombeo de alcantarillado de la empresa.</t>
  </si>
  <si>
    <t xml:space="preserve">Servicio de Alcantarillado </t>
  </si>
  <si>
    <t>Incoformidad de Usuarios</t>
  </si>
  <si>
    <t xml:space="preserve">Fallas en  la facturación </t>
  </si>
  <si>
    <t xml:space="preserve">Seguimiento y Evaluación del Desempeño Institucional </t>
  </si>
  <si>
    <t>Error  en la ejecución de los procedimientos</t>
  </si>
  <si>
    <t>Posibilidad de afectación  reputacional  por errores en la aplicación de los procedimientos de la empresa debido a la no realización de todas las actividades descritas en el procedimiento.</t>
  </si>
  <si>
    <t xml:space="preserve">Perdida de recursos publicos </t>
  </si>
  <si>
    <t xml:space="preserve">Posibilidad de afectación  reputacional  y economica  por  actividades de corrupción o soborno afectando el funcionamiento de la empresa </t>
  </si>
  <si>
    <t>Asaltos y atentandos  (Orden Publico)</t>
  </si>
  <si>
    <t xml:space="preserve">Posibilidad de afectación   economica  por  peridad de recursos publicos  y daños materiales a la empresa </t>
  </si>
  <si>
    <t xml:space="preserve">Perdida de Información </t>
  </si>
  <si>
    <t>Posibilidad de afectación   reputacional  por la perdidad de información afectaria a la memoria historica de la empresa.</t>
  </si>
  <si>
    <t xml:space="preserve">Desorganización de Archivos de Gestión </t>
  </si>
  <si>
    <t>Posibilidad de afectación   reputacional  debido a que no se tienen organizados los archivos de gestión  generando demoras  en la busqueda de información</t>
  </si>
  <si>
    <t xml:space="preserve">Posibilidad de afectación  reputacional  y economica  por perdida o hurto de la información causando retrasos en los procesos generando hasta sanciones  </t>
  </si>
  <si>
    <t xml:space="preserve">Socializar el plan institucional de capacitación con todo el personal  de la empresa, mostrando todos los ejes tematicos y su importancia. </t>
  </si>
  <si>
    <t xml:space="preserve">Enero </t>
  </si>
  <si>
    <t xml:space="preserve">Cuatrimestral </t>
  </si>
  <si>
    <t>Programar las capacitacione e informar a traves de circular interna para que agenden los espacios</t>
  </si>
  <si>
    <t xml:space="preserve">Publicar la circular de capcitaciones con una seman de anterioridad para que los trabajdores aasistan. </t>
  </si>
  <si>
    <t>Auxiliar de Talento Humano</t>
  </si>
  <si>
    <t xml:space="preserve">Junio </t>
  </si>
  <si>
    <t xml:space="preserve">Indagar las causas de la inasitencia del personal a las capacitaciones </t>
  </si>
  <si>
    <t>Febrero</t>
  </si>
  <si>
    <t>Julio</t>
  </si>
  <si>
    <t xml:space="preserve">Cada Jornada de Capcitación </t>
  </si>
  <si>
    <t xml:space="preserve">Revisión de registro de asistencia, comunicando al jefe de area inasistencia del personal. </t>
  </si>
  <si>
    <t>Revisión de insumos utilizados para la formulación de planes reglamentarios para la entidad.</t>
  </si>
  <si>
    <t>El Subgerente Administrativo y Financiero  revisa los planes a ejecutar revisando que este acorde a la normatividad</t>
  </si>
  <si>
    <t>Si durante el desarrollo de planes se presentan factores de fuerza mayor, reprogramar o cambiar las actividades.</t>
  </si>
  <si>
    <t xml:space="preserve">Tener en cuenta los diganosticos realizados para la planeación de actividades. </t>
  </si>
  <si>
    <t xml:space="preserve">Usar como insumo los diagnosticos aplicaddos al personal para formulación de planes. </t>
  </si>
  <si>
    <t>Socialización de codigo de integridad con todo el personal, explicando como funcionan los cinco valores del servidor publico .</t>
  </si>
  <si>
    <t xml:space="preserve">Realizar actividades de apropiación de los valores del servidor publico  con todo el personal. </t>
  </si>
  <si>
    <t>En caso de un caso de convivencia laboral entre trabajadores, en la conciliación mostrar el codigo de integridad.</t>
  </si>
  <si>
    <t xml:space="preserve">Ejecución de mantenimientos preventivos de los equipos </t>
  </si>
  <si>
    <t>Implementar procdimientos del estandar de organización y gestión</t>
  </si>
  <si>
    <t>Implementar procdimientos del estandar de Taelnto humano</t>
  </si>
  <si>
    <t>Implementar procdimientos del estandar de infraestructura y dotación</t>
  </si>
  <si>
    <t>Implementar procdimientos del estandar de Refrencia y contrarreferencia</t>
  </si>
  <si>
    <t>Implementar procdimientos del estandar de Bioseguridad y manejo de resiudos</t>
  </si>
  <si>
    <t>Implementar procdimientos del estandar de porcesos prioritarios</t>
  </si>
  <si>
    <t>Ejecución del plan de capacitación y entrenamiento al personal en el estánadar de oprganizacipon y gestión</t>
  </si>
  <si>
    <t>Ejecución del plan de capacitación y entrenamiento al personal en el estánadar de infraestructura y dotación</t>
  </si>
  <si>
    <t>Ejecución del plan de capacitación y entrenamiento al personal en el estánadar de refrerencia y contrarreferencia</t>
  </si>
  <si>
    <t>Ejecución del plan de capacitación y entrenamiento al personal en el estánadar de obioseguridad y manejo de resiudos</t>
  </si>
  <si>
    <t>Ejecución del plan de capacitación y entrenamiento al personal en el estánadar de procesos prioriitarios</t>
  </si>
  <si>
    <t>Aquisión de equipo colorimetro con kit  de verificación</t>
  </si>
  <si>
    <t>Mantenimiento y calibración de la incubadora</t>
  </si>
  <si>
    <t>Revisiión de diseño, implementación y socialización  de la documentación del estándar de organización y gestión</t>
  </si>
  <si>
    <t>Revisiión de diseño, implementación y socialización  de la documentación del estándar de talento humano</t>
  </si>
  <si>
    <t>Revisiión de diseño, implementación y socialización  de la documentación del estándar de infraestructura y dotación</t>
  </si>
  <si>
    <t>Revisiión de diseño, implementación y socialización  de la documentación del estándar de refrencia y contrarreferencia</t>
  </si>
  <si>
    <t>Revisiión de diseño, implementación y socialización  de la documentación del estándar de bioseguridad y manejo de residuos</t>
  </si>
  <si>
    <t>Revisiión de diseño, implementación y socialización  de la documentación del estándar de porcesos prioritarios</t>
  </si>
  <si>
    <t xml:space="preserve">Seguimiento al crnograma de cpactación y entrenamiento al personal de laboratorio en el estándar de organización y gestión </t>
  </si>
  <si>
    <t>Seguimiento al crnograma de cpactación y entrenamiento al personal de laboratorio en el estándar de infraestructura y dotación</t>
  </si>
  <si>
    <t>Seguimiento al crnograma de cpactación y entrenamiento al personal de laboratorio en el estándar de referencia y contrarreferencia</t>
  </si>
  <si>
    <t>Seguimiento al crnograma de cpactación y entrenamiento al personal de laboratorio en el estándar de bioseguridad y manejo de residuos</t>
  </si>
  <si>
    <t xml:space="preserve">Seguimiento al crnograma de cpactación y entrenamiento al personal de laboratorio en el estándar de porcesos prioritarios </t>
  </si>
  <si>
    <t>Supervisión de contrato para adquisión de equipos</t>
  </si>
  <si>
    <t>Supervisión de contrato de mantenimiento de equipo</t>
  </si>
  <si>
    <t>Coordinador de laboratorio</t>
  </si>
  <si>
    <t>Mipg</t>
  </si>
  <si>
    <t>Subgerente operativo</t>
  </si>
  <si>
    <t>diciembre de 2019 a diciembre de 2023</t>
  </si>
  <si>
    <t>diciembre de 2019 a diciembre de 2024</t>
  </si>
  <si>
    <t>diciembre de 2019 a diciembre de 2025</t>
  </si>
  <si>
    <t>diciembre de 2019 a diciembre de 2026</t>
  </si>
  <si>
    <t>diciembre de 2019 a diciembre de 2027</t>
  </si>
  <si>
    <t>diciembre de 2019 a diciembre de 2028</t>
  </si>
  <si>
    <t>Junio y diciembre</t>
  </si>
  <si>
    <t xml:space="preserve">Enero a abril </t>
  </si>
  <si>
    <t xml:space="preserve">Junio de cada vigencia </t>
  </si>
  <si>
    <t>Abril</t>
  </si>
  <si>
    <t xml:space="preserve">abril </t>
  </si>
  <si>
    <t>mensual</t>
  </si>
  <si>
    <t>semestral</t>
  </si>
  <si>
    <t>Adquisión de equipos de respaldo para el porceso de potabilización</t>
  </si>
  <si>
    <t>Mantenimiento preventivo y correctivo a equipos principales del proceso de potabilización</t>
  </si>
  <si>
    <t>Actualización de Hoja de vida de equipos</t>
  </si>
  <si>
    <t>Elaboración de estudio de necesidad, contrato y Supervisión de contrato de adquisión de equipos</t>
  </si>
  <si>
    <t>Elaboración de estudio de necesidad, contrato y Supervisión de contrato de adquisión de mantenimiento preventivo y correctivo a equipos</t>
  </si>
  <si>
    <t>Registro actualizado de la hojan de vida de los equipos</t>
  </si>
  <si>
    <t>Coordinador división acueducto, subgerente operativo, asesor juridico</t>
  </si>
  <si>
    <t>Coordinador división acueducto, subgerente operativo</t>
  </si>
  <si>
    <t>Enero a febrero</t>
  </si>
  <si>
    <t>mayo</t>
  </si>
  <si>
    <t>trimestral</t>
  </si>
  <si>
    <t xml:space="preserve">Evaluación patologica del muro de contención del embalse </t>
  </si>
  <si>
    <t xml:space="preserve">Adecuación de pozo perforado numero 2, bombeo y pretratamiento, para aumento de caudal de fuenteas alternas </t>
  </si>
  <si>
    <t>Elaboracipon de la evaluación patologica del muro de contención del embalse La María</t>
  </si>
  <si>
    <t>Subgerente operativo, Gerente</t>
  </si>
  <si>
    <t>octubre</t>
  </si>
  <si>
    <t>diciembre</t>
  </si>
  <si>
    <t>en curso</t>
  </si>
  <si>
    <t>Instlación de tablero electrico, adeucaiones locativas necesarias  y sistema de pretratamiento para el pozo perforado numero 2</t>
  </si>
  <si>
    <t xml:space="preserve">Aumentar frecuencia de supervsión a las labores de los operadores de planta </t>
  </si>
  <si>
    <t>Listas de chequeo a operadores de planta e informe mensual de actividades del área</t>
  </si>
  <si>
    <t>Coordinador de planteros, jefe división acueudcto</t>
  </si>
  <si>
    <t>Implementar plan de capacitación para el personal operador de planta</t>
  </si>
  <si>
    <t>Ejecutar plan de capcaitación para el personal operador de planta</t>
  </si>
  <si>
    <t xml:space="preserve">Actualizar al personal operador de planta en las norma de competencia laboral asociadas a sus funciones, conforme la oferta del SENA </t>
  </si>
  <si>
    <t xml:space="preserve">Documento del plan de capacitación para operadores de planta </t>
  </si>
  <si>
    <t>Lista de asistencia de operadores de planta a capacitaciones programadas</t>
  </si>
  <si>
    <t xml:space="preserve">certificado de norma de competencia laboral especifica  </t>
  </si>
  <si>
    <t>Jefe división acueducto</t>
  </si>
  <si>
    <t>ente conformador SENA</t>
  </si>
  <si>
    <t>septiembre</t>
  </si>
  <si>
    <t>octubre a diciembre</t>
  </si>
  <si>
    <t>según oferta educativa</t>
  </si>
  <si>
    <t>octtubre</t>
  </si>
  <si>
    <t>noviembre y diciembre</t>
  </si>
  <si>
    <t>Adquision de kit - A para contención de emergencias por escapes de gas cloro</t>
  </si>
  <si>
    <t>Instalación de cortina con agente neutralizante para control de fugas de gas cloro</t>
  </si>
  <si>
    <t>recarga del equipo autocontenido y adquision de traje para control de fugas de gas cloro</t>
  </si>
  <si>
    <t xml:space="preserve">capacitación al personal en atención de fugas de gas cloro </t>
  </si>
  <si>
    <t>documentado</t>
  </si>
  <si>
    <t>Incluir en el plan de compras de la vigencia 2023 la adquisión de equipos en line y medición de caudal en la fuente</t>
  </si>
  <si>
    <t>Adquision de equipos en linea para control de parametros y sistema de medición de caudal en la fuente de abastecimiento</t>
  </si>
  <si>
    <t xml:space="preserve">Adquision de sistema de medición  de presión en la red de distribución </t>
  </si>
  <si>
    <t>Incluir en el plan de compras de la vigencia 2023 la adquisión de equipos en línea para la medición de presión en la red de distribución</t>
  </si>
  <si>
    <t>Incluir en el plan de compras de la vigencia 2023 la adquisión del Kit -A para control de escapes de gas cloro</t>
  </si>
  <si>
    <t>Construir e instlar la cortina de contención para fugas de gas cloro</t>
  </si>
  <si>
    <t>Incluir en el plan de compras de la vigencia 2023 la recarga del equipo de autocontenido y adquisión de traje portector</t>
  </si>
  <si>
    <t xml:space="preserve">Realizar capacitracipnes sobre manejo seguro de gas cloro para opeardores de planta y contratista suministrador </t>
  </si>
  <si>
    <t xml:space="preserve">subgerentres operativo, administrativo y financiero y gerente </t>
  </si>
  <si>
    <t>Jefe divispon acueducto y profesional SST</t>
  </si>
  <si>
    <t>Junio</t>
  </si>
  <si>
    <t>enero</t>
  </si>
  <si>
    <t>febrero</t>
  </si>
  <si>
    <t>semanal</t>
  </si>
  <si>
    <t>finalizado</t>
  </si>
  <si>
    <t>se ha capacitado a los funcionarios que son productores y que manejan documentación</t>
  </si>
  <si>
    <t>muy baja</t>
  </si>
  <si>
    <t>leve</t>
  </si>
  <si>
    <t>listado de asistencia de los funcionarios administrativos</t>
  </si>
  <si>
    <t>auxiliar administrativo - archivo</t>
  </si>
  <si>
    <t>agosto</t>
  </si>
  <si>
    <t>lista de chequeo</t>
  </si>
  <si>
    <t>junio</t>
  </si>
  <si>
    <t>julio</t>
  </si>
  <si>
    <t>seguimiento  de organización a  los archivos de gestión</t>
  </si>
  <si>
    <t>infaestructura adecuada para la conservación del patrimonio documental de la empresa</t>
  </si>
  <si>
    <t>digitalización de los expedientes que reposan en el archivo central</t>
  </si>
  <si>
    <t>Incendio del archivo poe estar cerca de la planta perking</t>
  </si>
  <si>
    <t>contrato</t>
  </si>
  <si>
    <t>invetario documental  en la carpeta de seguridad</t>
  </si>
  <si>
    <t>subgerencia administrativa y financiera</t>
  </si>
  <si>
    <t>Subgerencia operativa</t>
  </si>
  <si>
    <t>cuando me asigne el scaner</t>
  </si>
  <si>
    <t xml:space="preserve">monoreo deiario de  operación </t>
  </si>
  <si>
    <t xml:space="preserve">Mantenimiento prebentivo  de equipos Electronicos   </t>
  </si>
  <si>
    <t xml:space="preserve">media </t>
  </si>
  <si>
    <t xml:space="preserve">medioa </t>
  </si>
  <si>
    <t>moderado</t>
  </si>
  <si>
    <t xml:space="preserve">diligencimiento de formato registro fograficos </t>
  </si>
  <si>
    <t xml:space="preserve">Mantenimiento prebentivo  de equipos  hidraulicos </t>
  </si>
  <si>
    <t xml:space="preserve">repocion de equipos </t>
  </si>
  <si>
    <t xml:space="preserve">Area operativa </t>
  </si>
  <si>
    <t xml:space="preserve">enero </t>
  </si>
  <si>
    <t xml:space="preserve">trimestral </t>
  </si>
  <si>
    <t>Realizar  capacitacion de forma didacticas</t>
  </si>
  <si>
    <t>Realizar seguimiento al personal que no asista a las capacitaciones  sin justa causa</t>
  </si>
  <si>
    <t>Realizar seguimiento en las asistencias para las capacitaciones planeadas</t>
  </si>
  <si>
    <t xml:space="preserve">Gerente, Subgerente y profesional SST </t>
  </si>
  <si>
    <t>N/a</t>
  </si>
  <si>
    <t>Realizar llamado de atencion cundo no presente la causa de justificacion</t>
  </si>
  <si>
    <t xml:space="preserve">Mantenimiento preventivo en los equipos </t>
  </si>
  <si>
    <t xml:space="preserve">capacitar al personal de brigadas </t>
  </si>
  <si>
    <t>Realziar el control del seguimiento de los equipos</t>
  </si>
  <si>
    <t>Gerente, Subgerente y encargados de cada dependencia</t>
  </si>
  <si>
    <t>campaña para sencibilizar al personal de la empresa para el uso de los equipos</t>
  </si>
  <si>
    <t>Realizar capacitacion al personal  para la sencibilizacion del uso adecuado de los equipos</t>
  </si>
  <si>
    <t>sencibilizar a todo el personal sobre la importancia de conocer  plan de emergencia</t>
  </si>
  <si>
    <t>capacitar al personal de brigadas de emergencia</t>
  </si>
  <si>
    <t>Socializar a todo el personal el plan de emergencias de la empresa</t>
  </si>
  <si>
    <t xml:space="preserve"> junio
agosto</t>
  </si>
  <si>
    <t>marzo</t>
  </si>
  <si>
    <t>anual</t>
  </si>
  <si>
    <t>Gerente, Subgerente operativo y administrativo</t>
  </si>
  <si>
    <t>2022- 2023</t>
  </si>
  <si>
    <t xml:space="preserve"> continuar con los tramites para el mantenimiento</t>
  </si>
  <si>
    <t>socializacion de plan de contingencia</t>
  </si>
  <si>
    <t xml:space="preserve">Gerente, Subgerente, operativa y profesional SST </t>
  </si>
  <si>
    <t>abril</t>
  </si>
  <si>
    <t>Informar al personal los riesgos del tanque</t>
  </si>
  <si>
    <t>Continuar con la gestion para el mantenimiento del tanque de acuerdo a los resultados de la patologia</t>
  </si>
  <si>
    <t>Realizar del simulacro con todo el personade evacuacion desplome aerea</t>
  </si>
  <si>
    <t>realizar simulacro</t>
  </si>
  <si>
    <t>cumplir con los protocolos de bioseguridad</t>
  </si>
  <si>
    <t>realizar charlas de sencibilizacion sobre el Covid-19</t>
  </si>
  <si>
    <t>Realizar entregas de los elementos de Biseguridad</t>
  </si>
  <si>
    <t>Realizar seguimiento al esquema de vacuancion</t>
  </si>
  <si>
    <t>Realizar seguimiento al personal que presente sintomatologia asociada con el Covid y realizar oficio de aislamiento</t>
  </si>
  <si>
    <t>Continuar con el cumplimineto con los protolocos de bioseguridad</t>
  </si>
  <si>
    <t xml:space="preserve">Gerente, Subgerente, y profesional SST </t>
  </si>
  <si>
    <t>Contiuar con las charlas, folletos y mensajes sobre el Covid para sencibilizar al persoalsobre los riesgos del virus</t>
  </si>
  <si>
    <t>Continunar con la entrega de elementos de bioseguridad</t>
  </si>
  <si>
    <t>Continuar con seguimineto del personal que reporte sintomas de covid y oficiarlos para realizar teletrabajo</t>
  </si>
  <si>
    <t>Continuar con el seguimiento para cumplir con el esquema de vacunacion y realizar jornadas de vacunacion</t>
  </si>
  <si>
    <t>diario</t>
  </si>
  <si>
    <t>enero a diciembre</t>
  </si>
  <si>
    <t>enero- abril- julio-octubre</t>
  </si>
  <si>
    <t>Mantenimiento, calificación de cabina de bioseguridad</t>
  </si>
  <si>
    <t xml:space="preserve">Sociliazar manuales de procedimeintos en cada area </t>
  </si>
  <si>
    <t>Convocar a cada area para capacitar lois manuales de procedimientos</t>
  </si>
  <si>
    <t xml:space="preserve">Area administrativa </t>
  </si>
  <si>
    <t>No aplicación de metodos para recuado y pago en los tiempos establecidos</t>
  </si>
  <si>
    <t xml:space="preserve">No pago de los servicios prestados </t>
  </si>
  <si>
    <t>Se presenta en los ciclos de facturación en la actividad de recaudo, cumplimiento de etapas de cobro y aplicación de suspensiones, y solución de PQRS</t>
  </si>
  <si>
    <t>Atención y/o seguimiento de PQR que afecten o modifiquen la facturación en el periodo que se interpone</t>
  </si>
  <si>
    <t>Cumplimiento de las etapas de cobro establecidas en el manual de cartera</t>
  </si>
  <si>
    <t>Contar con la documentación completa en los expedientes de los usuarios para garantizar los debidos procesos de cobro y garantias frente a las deudas con la empresa</t>
  </si>
  <si>
    <t>Cumplir con las suspensiones programadas en el periodo teniendo en cuenta el personal disponible y priorizando por periodos de atraso y montos</t>
  </si>
  <si>
    <t xml:space="preserve">Bajo recaudo  </t>
  </si>
  <si>
    <t>Medios alternos independientes en los inmuebles para abastecerse de los servicios de acueducto y alcantarillado</t>
  </si>
  <si>
    <t>Por parte de los usuarios se tienen medios alternos para abastecer los servicios de acueducto y alcantarillado.</t>
  </si>
  <si>
    <t xml:space="preserve">Seguimiento al pago y comportamiento del servicio en usuarios que registran suspensión y no pago </t>
  </si>
  <si>
    <t>aplicación de las etapas de cobro establecidas en la entidad</t>
  </si>
  <si>
    <t>Seguimiento al tiempo y calidad de la respuesta de la PQR en el momento de la visita y respuesta escrita o verbal al usuario</t>
  </si>
  <si>
    <t>Insatisfacción sobre  la  prestación del servicio y solucion de PQR y ordenes de trabajo</t>
  </si>
  <si>
    <t>No dar solucion efectiva y clara de las PQR y ordenes de trabajo presentadas respecto a las novedades de las prestaciones de los servicios</t>
  </si>
  <si>
    <t>Fallas en las tomas de lecturas
Fallas tecnicas y de estado fisico de los equipos de medición</t>
  </si>
  <si>
    <t>En el momento de tomas de lecturas para determinar los consumos de los servicios los equipos de medida no cuentan con condiciones tecnicas y fisicas que garanticen la adecuada medición
Inmuebles mal identificados en dirección, uso y estado de habitabilidad</t>
  </si>
  <si>
    <t xml:space="preserve">Cumplir con las actividades de precritica y critica durante los ciclos de facturación, registrando las novedades de los predios </t>
  </si>
  <si>
    <t>Usuarios con disponibilidades sin conexión a redes de la empresa</t>
  </si>
  <si>
    <t xml:space="preserve">Crecimiento en los montos de cartera por usuarios que no hacen del servicio y en el sistema registran consumo </t>
  </si>
  <si>
    <t>Generación de PQR y/o ordenes de trabajo que permitan identificar el uso y conexión a los servicios de acueducto y alcantarillado</t>
  </si>
  <si>
    <t>Conexiones  en mal estado</t>
  </si>
  <si>
    <t>elaborar manual de supervision e interventoria con el fin de que los suppervisores conozcan sus fucniones y las ejerzan de manera estricta</t>
  </si>
  <si>
    <t>oficina juridica</t>
  </si>
  <si>
    <t xml:space="preserve">julio </t>
  </si>
  <si>
    <t>n/a</t>
  </si>
  <si>
    <t>realiza una supervisión tecnica, juridica y financiera de manera contina y oportuna</t>
  </si>
  <si>
    <t>julio de la presente vigencia</t>
  </si>
  <si>
    <t>Incumpliento del Contratista en sus actividades.</t>
  </si>
  <si>
    <t>falta de supervision a los contratos</t>
  </si>
  <si>
    <t>No cumplimiento de sus obligaciones</t>
  </si>
  <si>
    <t>Posibilidad de afectación economica por no cumplimiento de las obligaciones como supervisor  hallazgos administrativos por parte de entes de control.</t>
  </si>
  <si>
    <t xml:space="preserve">con la verificacion y la evaluacion de la popuesta por parte del subgerente de donde surge la necesidad </t>
  </si>
  <si>
    <t>Se emitira directriz con el fin de que los evaluadores de las propuestas realicen un minucioso control de los documentos aportados por el oferente y solicitados en el Estudio Previo y en la Carta de Invitación de la Propuesta</t>
  </si>
  <si>
    <t xml:space="preserve">se implementará un formato de supervisión a fin de determinar las actividades y el avance de ejecución del contrato. </t>
  </si>
  <si>
    <t xml:space="preserve">implementacion de formato que le permita al supervisior certificar r las actividades ejecutadas </t>
  </si>
  <si>
    <t xml:space="preserve">Gestión Documental </t>
  </si>
  <si>
    <t>Niveles de seguridad bajos frente al acceso a la información</t>
  </si>
  <si>
    <t xml:space="preserve">Sistema de
almacenamiento 
inapropiado para las muestras que requieren refrigeración </t>
  </si>
  <si>
    <t>Ausencia de material
certificado en el
mercado, para análisis de parémtros fisicoquímicos</t>
  </si>
  <si>
    <t>Fuentes de información
insuficientes o
inadecuadas</t>
  </si>
  <si>
    <t>Revisar los procedimientos
internos de verificación o
validación</t>
  </si>
  <si>
    <t>Identificar las fuentes de
afección a los resultados
de las actividades de
laboratorio</t>
  </si>
  <si>
    <t>Formar y sensibilizar a todo
el personal en materia de
imparcialidad</t>
  </si>
  <si>
    <t>Establecer
autodeclaraciones de
imparcialidad de los
niveles de la organización</t>
  </si>
  <si>
    <t>Establecer
autodeclaraciones de
imparcialidad de los
niveles de la organización que reduzcan posibles confilctos de intereses</t>
  </si>
  <si>
    <t>Desconocimiento del conducto regular para emisión de resultados</t>
  </si>
  <si>
    <t>Ampliar asignación presupuestal para garantizar la continuidad del personal que realiza labores dentro del laboratorio de controld e calidad sin afectar el servicio de control de calidad</t>
  </si>
  <si>
    <t xml:space="preserve">Bajas no previstas - no se cuenta con auxiliar de laboratorio titular por incapacidad médica
</t>
  </si>
  <si>
    <t>Supervisar el desempeño de las actividades de laboratorio de las
personas en las que se ha identificado este riesgo</t>
  </si>
  <si>
    <t xml:space="preserve">
Realizar supervisiones
adicionales cuando haya
desviaciones y programar ejecución de supervisiones con menor frecuencia 
</t>
  </si>
  <si>
    <t>Criterios de selección de personal laxos</t>
  </si>
  <si>
    <t xml:space="preserve">Modificar y adecuar los
criterios de competencia del personal que va a ingresar a laborar al laboratoriode control de calidad.                Dar cumplimiento a lo dispuesto en la minuta del contrato en caso de que la personal INCUMPLA en el desempeño del periodo de prueba
</t>
  </si>
  <si>
    <t>Cambio de proveedor de insumos que tenga representación nacional para servciios de calibración de equipos para análisis fisicoquímico</t>
  </si>
  <si>
    <t>generar mattriz de actualización y seguimiento de proveedores para verificar su competencia en las OCM</t>
  </si>
  <si>
    <t>Actuializar en el manual de aseguramiento metrológico las  caracterpiticas de la documentación relacionada a las operaciones de confirmación metrológica (OMC) para ser usardas de referente cuando se expidan por parte de los contratistas estros documentos, para su respectiva evaluación</t>
  </si>
  <si>
    <t xml:space="preserve">Condicionamiento de resultados por presiones dentro de la empresa </t>
  </si>
  <si>
    <t xml:space="preserve">Conflicto de interes por parte de los analistas del Laboratorio </t>
  </si>
  <si>
    <t>Posibilidad de afectación   reputacional  por la ausencia o pérdida de imparcialidad de los resultados de laboratorio emitidos</t>
  </si>
  <si>
    <t xml:space="preserve">Posibilidad de afectación  reputacional y economica debido a divulgación premeditada de resultados sin la debida autorización ni conducto regular </t>
  </si>
  <si>
    <t>Definir roles y niveles de acceso y supervisar periódicamente de tal forma que se configuren herramientas
de comunicación
(advertencia de privacidad
y confidencialidad)</t>
  </si>
  <si>
    <t>Controlar el acceso a  las instalaciones del laboratorio y supervisar periódicamente su funcionamiento y  comunicar internamente y sensibilizar sobre los requisitos de confidencialidad
establecidos y acordados institucionalmente</t>
  </si>
  <si>
    <t>Posibilidad de afectación  reputacional debido a incendios que generan por falta de mantenimiento de las instalaciones  o no apagar los equipos correctamente.</t>
  </si>
  <si>
    <t xml:space="preserve">Ausencia de protección
de la luz sola, inestabilidad eléctricay
corrientes de aire inadeacuada </t>
  </si>
  <si>
    <t>Posibilidad de afectación  reputacional y economica debido instalaciones
y condiciones
ambientales
inadecuadas</t>
  </si>
  <si>
    <t>Uso de certificados de calibración o análisis de forma no adecuada
(certificados mal elaborados, errores en su aplicación) por proveedores no
acreditados</t>
  </si>
  <si>
    <t>Posibilidad de afectación  reputacional y economica debido a la  falta o pérdida trazabilidad
metrológica de los equipos de laboratorio de control de calidad del agua</t>
  </si>
  <si>
    <t>No identificar fuentes de afección a los
resultados en relación con la ealización de los métodos
certificado en el
mercado, para análisis de parémtros fisicoquímicos</t>
  </si>
  <si>
    <t>Posibilidad de afectación  reputacional debido a la  falta de verificación
o validación
inadecuada o
incompleta de los métodos de enayo</t>
  </si>
  <si>
    <t>Mapa de Riesgos de Procesos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</si>
</sst>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0.249977111117893"/>
        <bgColor indexed="64"/>
      </patternFill>
    </fill>
  </fills>
  <borders count="7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dashed">
        <color theme="9" tint="-0.24994659260841701"/>
      </right>
      <top/>
      <bottom/>
      <diagonal/>
    </border>
    <border>
      <left style="thin">
        <color indexed="64"/>
      </left>
      <right style="thin">
        <color indexed="64"/>
      </right>
      <top style="thin">
        <color indexed="64"/>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6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1" fillId="0" borderId="2" xfId="0" applyFont="1" applyBorder="1" applyAlignment="1" applyProtection="1">
      <alignment horizontal="right" textRotation="90"/>
      <protection locked="0"/>
    </xf>
    <xf numFmtId="0" fontId="6" fillId="0" borderId="2" xfId="0" applyFont="1" applyBorder="1" applyAlignment="1" applyProtection="1">
      <alignment horizontal="justify" vertical="top"/>
      <protection locked="0"/>
    </xf>
    <xf numFmtId="0" fontId="4" fillId="0" borderId="2" xfId="0" applyFont="1" applyBorder="1" applyAlignment="1" applyProtection="1">
      <alignment horizontal="center" vertical="center" textRotation="90" wrapText="1"/>
      <protection hidden="1"/>
    </xf>
    <xf numFmtId="0" fontId="1" fillId="0" borderId="2" xfId="0" applyFont="1" applyBorder="1" applyAlignment="1" applyProtection="1">
      <alignment horizontal="center" textRotation="90"/>
      <protection locked="0"/>
    </xf>
    <xf numFmtId="0" fontId="1" fillId="0" borderId="2" xfId="0" applyFont="1" applyBorder="1" applyAlignment="1" applyProtection="1">
      <alignment horizontal="center" vertical="center" textRotation="90"/>
      <protection locked="0"/>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top" wrapText="1"/>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wrapText="1"/>
      <protection locked="0"/>
    </xf>
    <xf numFmtId="0" fontId="1" fillId="0" borderId="4" xfId="0" applyFont="1" applyBorder="1" applyAlignment="1">
      <alignment horizontal="center" vertical="top"/>
    </xf>
    <xf numFmtId="0" fontId="1" fillId="0" borderId="4" xfId="0" applyFont="1" applyBorder="1" applyAlignment="1">
      <alignment horizontal="center" vertical="top" wrapText="1"/>
    </xf>
    <xf numFmtId="0" fontId="1" fillId="0" borderId="4"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4" xfId="0" applyFont="1" applyBorder="1" applyAlignment="1" applyProtection="1">
      <alignment horizontal="center" vertical="top"/>
      <protection hidden="1"/>
    </xf>
    <xf numFmtId="0" fontId="1" fillId="0" borderId="4"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0" fontId="1" fillId="3" borderId="2" xfId="0" applyFont="1" applyFill="1" applyBorder="1" applyAlignment="1" applyProtection="1">
      <alignment horizontal="center" vertical="top" wrapText="1"/>
      <protection locked="0"/>
    </xf>
    <xf numFmtId="0" fontId="1" fillId="0" borderId="28" xfId="0" applyFont="1" applyBorder="1" applyAlignment="1" applyProtection="1">
      <alignment vertical="center" wrapText="1"/>
      <protection locked="0"/>
    </xf>
    <xf numFmtId="0" fontId="2" fillId="0" borderId="4" xfId="0" applyFont="1" applyBorder="1" applyAlignment="1" applyProtection="1">
      <alignment vertical="top" wrapText="1"/>
      <protection locked="0"/>
    </xf>
    <xf numFmtId="0" fontId="1" fillId="0" borderId="33" xfId="0" applyFont="1" applyBorder="1" applyAlignment="1">
      <alignment wrapText="1"/>
    </xf>
    <xf numFmtId="0" fontId="1" fillId="0" borderId="33" xfId="0" applyFont="1" applyBorder="1" applyAlignment="1">
      <alignment vertical="top" wrapText="1"/>
    </xf>
    <xf numFmtId="0" fontId="1" fillId="0" borderId="76" xfId="0" applyFont="1" applyBorder="1" applyAlignment="1">
      <alignment wrapText="1"/>
    </xf>
    <xf numFmtId="0" fontId="56" fillId="3" borderId="64" xfId="2" applyFont="1" applyFill="1" applyBorder="1" applyAlignment="1">
      <alignment horizontal="justify" vertical="center" wrapText="1"/>
    </xf>
    <xf numFmtId="0" fontId="56" fillId="3" borderId="65"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5" fillId="3" borderId="58" xfId="3" applyFont="1" applyFill="1" applyBorder="1" applyAlignment="1">
      <alignment horizontal="left" vertical="top" wrapText="1" readingOrder="1"/>
    </xf>
    <xf numFmtId="0" fontId="55" fillId="3" borderId="59" xfId="3" applyFont="1" applyFill="1" applyBorder="1" applyAlignment="1">
      <alignment horizontal="left" vertical="top" wrapText="1" readingOrder="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2"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3" xfId="0" applyFont="1" applyFill="1" applyBorder="1" applyAlignment="1">
      <alignment horizontal="left" vertical="center" wrapText="1"/>
    </xf>
    <xf numFmtId="0" fontId="55" fillId="3" borderId="74" xfId="0" applyFont="1" applyFill="1" applyBorder="1" applyAlignment="1">
      <alignment horizontal="left" vertical="center" wrapText="1"/>
    </xf>
    <xf numFmtId="0" fontId="56" fillId="3" borderId="66" xfId="0" applyFont="1" applyFill="1" applyBorder="1" applyAlignment="1">
      <alignment horizontal="justify" vertical="center" wrapText="1"/>
    </xf>
    <xf numFmtId="0" fontId="56" fillId="3" borderId="67" xfId="0" applyFont="1" applyFill="1" applyBorder="1" applyAlignment="1">
      <alignment horizontal="justify"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4" xfId="3" applyFont="1" applyFill="1" applyBorder="1" applyAlignment="1">
      <alignment horizontal="center" vertical="center" wrapText="1"/>
    </xf>
    <xf numFmtId="0" fontId="55" fillId="14" borderId="55" xfId="3" applyFont="1" applyFill="1" applyBorder="1" applyAlignment="1">
      <alignment horizontal="center" vertical="center" wrapText="1"/>
    </xf>
    <xf numFmtId="0" fontId="55" fillId="14" borderId="56" xfId="2" applyFont="1" applyFill="1" applyBorder="1" applyAlignment="1">
      <alignment horizontal="center" vertical="center"/>
    </xf>
    <xf numFmtId="0" fontId="55"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1" fillId="21" borderId="30" xfId="0" applyFont="1" applyFill="1" applyBorder="1" applyAlignment="1">
      <alignment horizontal="center" vertical="center" textRotation="90"/>
    </xf>
    <xf numFmtId="0" fontId="1" fillId="21" borderId="75" xfId="0" applyFont="1" applyFill="1" applyBorder="1" applyAlignment="1">
      <alignment horizontal="center" vertical="center" textRotation="90"/>
    </xf>
    <xf numFmtId="0" fontId="1" fillId="0" borderId="29" xfId="0" applyFont="1" applyBorder="1" applyAlignment="1">
      <alignment horizontal="center" vertical="center"/>
    </xf>
    <xf numFmtId="0" fontId="1" fillId="0" borderId="0" xfId="0" applyFont="1" applyBorder="1" applyAlignment="1">
      <alignment horizontal="center" vertical="center"/>
    </xf>
    <xf numFmtId="0" fontId="25" fillId="2" borderId="6"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7" xfId="0" applyFont="1" applyFill="1" applyBorder="1" applyAlignment="1">
      <alignment horizontal="center" vertical="center"/>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28" xfId="0" applyFont="1" applyBorder="1" applyAlignment="1" applyProtection="1">
      <alignment horizontal="center" vertical="top" wrapText="1"/>
      <protection locked="0"/>
    </xf>
    <xf numFmtId="0" fontId="1" fillId="0" borderId="30" xfId="0" applyFont="1" applyBorder="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0" fontId="1" fillId="0" borderId="75"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0" borderId="32" xfId="0" applyFont="1" applyBorder="1" applyAlignment="1" applyProtection="1">
      <alignment horizontal="center" vertical="top" wrapText="1"/>
      <protection locked="0"/>
    </xf>
    <xf numFmtId="0" fontId="1" fillId="13" borderId="8" xfId="0" applyFont="1" applyFill="1" applyBorder="1" applyAlignment="1">
      <alignment horizontal="center" vertical="center" textRotation="90"/>
    </xf>
    <xf numFmtId="0" fontId="1" fillId="18" borderId="8" xfId="0" applyFont="1" applyFill="1" applyBorder="1" applyAlignment="1">
      <alignment horizontal="center" vertical="center" textRotation="90"/>
    </xf>
    <xf numFmtId="0" fontId="1" fillId="18" borderId="5" xfId="0" applyFont="1" applyFill="1" applyBorder="1" applyAlignment="1">
      <alignment horizontal="center" vertical="center" textRotation="90"/>
    </xf>
    <xf numFmtId="0" fontId="1" fillId="19" borderId="4" xfId="0" applyFont="1" applyFill="1" applyBorder="1" applyAlignment="1">
      <alignment horizontal="center" vertical="center" textRotation="90"/>
    </xf>
    <xf numFmtId="0" fontId="1" fillId="19" borderId="8" xfId="0" applyFont="1" applyFill="1" applyBorder="1" applyAlignment="1">
      <alignment horizontal="center" vertical="center" textRotation="90"/>
    </xf>
    <xf numFmtId="0" fontId="1" fillId="20" borderId="4" xfId="0" applyFont="1" applyFill="1" applyBorder="1" applyAlignment="1">
      <alignment horizontal="center" vertical="center" textRotation="90"/>
    </xf>
    <xf numFmtId="0" fontId="1" fillId="20" borderId="8" xfId="0" applyFont="1" applyFill="1" applyBorder="1" applyAlignment="1">
      <alignment horizontal="center" vertical="center" textRotation="90"/>
    </xf>
    <xf numFmtId="0" fontId="1" fillId="20" borderId="5" xfId="0" applyFont="1" applyFill="1" applyBorder="1" applyAlignment="1">
      <alignment horizontal="center" vertical="center" textRotation="90"/>
    </xf>
    <xf numFmtId="0" fontId="1" fillId="0" borderId="5" xfId="0" applyFont="1" applyBorder="1" applyAlignment="1" applyProtection="1">
      <alignment horizontal="center" vertical="top" wrapText="1"/>
      <protection locked="0"/>
    </xf>
    <xf numFmtId="0" fontId="1" fillId="21" borderId="4" xfId="0" applyFont="1" applyFill="1" applyBorder="1" applyAlignment="1">
      <alignment horizontal="center" vertical="center" textRotation="90"/>
    </xf>
    <xf numFmtId="0" fontId="1" fillId="21" borderId="8" xfId="0" applyFont="1" applyFill="1" applyBorder="1" applyAlignment="1">
      <alignment horizontal="center" vertical="center" textRotation="90"/>
    </xf>
    <xf numFmtId="0" fontId="2" fillId="0" borderId="5" xfId="0" applyFont="1" applyBorder="1" applyAlignment="1" applyProtection="1">
      <alignment horizontal="center" vertical="top" wrapText="1"/>
      <protection locked="0"/>
    </xf>
    <xf numFmtId="0" fontId="1" fillId="0" borderId="5" xfId="0" applyFont="1" applyBorder="1" applyAlignment="1" applyProtection="1">
      <alignment horizontal="center" vertical="top"/>
      <protection locked="0"/>
    </xf>
    <xf numFmtId="0" fontId="4" fillId="0" borderId="5" xfId="0"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hidden="1"/>
    </xf>
    <xf numFmtId="0" fontId="1" fillId="0" borderId="28" xfId="0" applyFont="1" applyBorder="1" applyAlignment="1">
      <alignment horizontal="center" vertical="top" wrapText="1"/>
    </xf>
    <xf numFmtId="0" fontId="1" fillId="0" borderId="30" xfId="0" applyFont="1" applyBorder="1" applyAlignment="1">
      <alignment horizontal="center" vertical="top" wrapText="1"/>
    </xf>
    <xf numFmtId="0" fontId="1" fillId="0" borderId="9" xfId="0" applyFont="1" applyBorder="1" applyAlignment="1">
      <alignment horizontal="center" vertical="top" wrapText="1"/>
    </xf>
    <xf numFmtId="0" fontId="1" fillId="0" borderId="75" xfId="0" applyFont="1" applyBorder="1" applyAlignment="1">
      <alignment horizontal="center" vertical="top" wrapText="1"/>
    </xf>
    <xf numFmtId="0" fontId="1" fillId="0" borderId="3" xfId="0" applyFont="1" applyBorder="1" applyAlignment="1">
      <alignment horizontal="center" vertical="top" wrapText="1"/>
    </xf>
    <xf numFmtId="0" fontId="1" fillId="0" borderId="32" xfId="0" applyFont="1" applyBorder="1" applyAlignment="1">
      <alignment horizontal="center" vertical="top" wrapText="1"/>
    </xf>
    <xf numFmtId="0" fontId="4" fillId="0" borderId="5" xfId="0" applyFont="1" applyBorder="1" applyAlignment="1" applyProtection="1">
      <alignment horizontal="center" vertical="top"/>
      <protection hidden="1"/>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17" borderId="4" xfId="0" applyFont="1" applyFill="1" applyBorder="1" applyAlignment="1">
      <alignment horizontal="center" vertical="center" textRotation="90" wrapText="1"/>
    </xf>
    <xf numFmtId="0" fontId="1" fillId="17" borderId="8" xfId="0" applyFont="1" applyFill="1" applyBorder="1" applyAlignment="1">
      <alignment horizontal="center" vertical="center" textRotation="90" wrapText="1"/>
    </xf>
    <xf numFmtId="0" fontId="1" fillId="18" borderId="4" xfId="0" applyFont="1" applyFill="1" applyBorder="1" applyAlignment="1">
      <alignment horizontal="center" vertical="center" textRotation="9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10"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1" fillId="3" borderId="0" xfId="0" applyFont="1" applyFill="1" applyAlignment="1">
      <alignment horizontal="left" vertical="center"/>
    </xf>
    <xf numFmtId="0" fontId="1" fillId="16" borderId="4" xfId="0" applyFont="1" applyFill="1" applyBorder="1" applyAlignment="1">
      <alignment horizontal="center" vertical="center" textRotation="90"/>
    </xf>
    <xf numFmtId="0" fontId="1" fillId="16" borderId="8" xfId="0" applyFont="1" applyFill="1" applyBorder="1" applyAlignment="1">
      <alignment horizontal="center" vertical="center" textRotation="90"/>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15" borderId="4" xfId="0" applyFont="1" applyFill="1" applyBorder="1" applyAlignment="1">
      <alignment horizontal="center" vertical="center" textRotation="90"/>
    </xf>
    <xf numFmtId="0" fontId="1" fillId="15" borderId="8" xfId="0" applyFont="1" applyFill="1" applyBorder="1" applyAlignment="1">
      <alignment horizontal="center" vertical="center" textRotation="90"/>
    </xf>
    <xf numFmtId="0" fontId="1" fillId="13" borderId="4" xfId="0" applyFont="1" applyFill="1" applyBorder="1" applyAlignment="1">
      <alignment horizontal="center" vertical="top"/>
    </xf>
    <xf numFmtId="0" fontId="1" fillId="13" borderId="8" xfId="0" applyFont="1" applyFill="1" applyBorder="1" applyAlignment="1">
      <alignment horizontal="center" vertical="top"/>
    </xf>
    <xf numFmtId="0" fontId="1" fillId="13" borderId="5" xfId="0" applyFont="1" applyFill="1" applyBorder="1" applyAlignment="1">
      <alignment horizontal="center" vertical="top"/>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600">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6"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21" zoomScale="110" zoomScaleNormal="110" workbookViewId="0">
      <selection activeCell="C24" sqref="C24:D24"/>
    </sheetView>
  </sheetViews>
  <sheetFormatPr baseColWidth="10" defaultColWidth="11.42578125" defaultRowHeight="15" x14ac:dyDescent="0.25"/>
  <cols>
    <col min="1" max="1" width="2.85546875" style="82" customWidth="1"/>
    <col min="2" max="3" width="24.7109375" style="82" customWidth="1"/>
    <col min="4" max="4" width="16" style="82" customWidth="1"/>
    <col min="5" max="5" width="24.7109375" style="82" customWidth="1"/>
    <col min="6" max="6" width="27.7109375" style="82" customWidth="1"/>
    <col min="7" max="8" width="24.7109375" style="82" customWidth="1"/>
    <col min="9" max="16384" width="11.42578125" style="82"/>
  </cols>
  <sheetData>
    <row r="1" spans="2:8" ht="15.75" thickBot="1" x14ac:dyDescent="0.3"/>
    <row r="2" spans="2:8" ht="18" x14ac:dyDescent="0.25">
      <c r="B2" s="192" t="s">
        <v>165</v>
      </c>
      <c r="C2" s="193"/>
      <c r="D2" s="193"/>
      <c r="E2" s="193"/>
      <c r="F2" s="193"/>
      <c r="G2" s="193"/>
      <c r="H2" s="194"/>
    </row>
    <row r="3" spans="2:8" x14ac:dyDescent="0.25">
      <c r="B3" s="83"/>
      <c r="C3" s="84"/>
      <c r="D3" s="84"/>
      <c r="E3" s="84"/>
      <c r="F3" s="84"/>
      <c r="G3" s="84"/>
      <c r="H3" s="85"/>
    </row>
    <row r="4" spans="2:8" ht="63" customHeight="1" x14ac:dyDescent="0.25">
      <c r="B4" s="195" t="s">
        <v>208</v>
      </c>
      <c r="C4" s="196"/>
      <c r="D4" s="196"/>
      <c r="E4" s="196"/>
      <c r="F4" s="196"/>
      <c r="G4" s="196"/>
      <c r="H4" s="197"/>
    </row>
    <row r="5" spans="2:8" ht="63" customHeight="1" x14ac:dyDescent="0.25">
      <c r="B5" s="198"/>
      <c r="C5" s="199"/>
      <c r="D5" s="199"/>
      <c r="E5" s="199"/>
      <c r="F5" s="199"/>
      <c r="G5" s="199"/>
      <c r="H5" s="200"/>
    </row>
    <row r="6" spans="2:8" ht="16.5" x14ac:dyDescent="0.25">
      <c r="B6" s="201" t="s">
        <v>163</v>
      </c>
      <c r="C6" s="202"/>
      <c r="D6" s="202"/>
      <c r="E6" s="202"/>
      <c r="F6" s="202"/>
      <c r="G6" s="202"/>
      <c r="H6" s="203"/>
    </row>
    <row r="7" spans="2:8" ht="95.25" customHeight="1" x14ac:dyDescent="0.25">
      <c r="B7" s="211" t="s">
        <v>168</v>
      </c>
      <c r="C7" s="212"/>
      <c r="D7" s="212"/>
      <c r="E7" s="212"/>
      <c r="F7" s="212"/>
      <c r="G7" s="212"/>
      <c r="H7" s="213"/>
    </row>
    <row r="8" spans="2:8" ht="16.5" x14ac:dyDescent="0.25">
      <c r="B8" s="119"/>
      <c r="C8" s="120"/>
      <c r="D8" s="120"/>
      <c r="E8" s="120"/>
      <c r="F8" s="120"/>
      <c r="G8" s="120"/>
      <c r="H8" s="121"/>
    </row>
    <row r="9" spans="2:8" ht="16.5" customHeight="1" x14ac:dyDescent="0.25">
      <c r="B9" s="204" t="s">
        <v>201</v>
      </c>
      <c r="C9" s="205"/>
      <c r="D9" s="205"/>
      <c r="E9" s="205"/>
      <c r="F9" s="205"/>
      <c r="G9" s="205"/>
      <c r="H9" s="206"/>
    </row>
    <row r="10" spans="2:8" ht="44.25" customHeight="1" x14ac:dyDescent="0.25">
      <c r="B10" s="204"/>
      <c r="C10" s="205"/>
      <c r="D10" s="205"/>
      <c r="E10" s="205"/>
      <c r="F10" s="205"/>
      <c r="G10" s="205"/>
      <c r="H10" s="206"/>
    </row>
    <row r="11" spans="2:8" ht="15.75" thickBot="1" x14ac:dyDescent="0.3">
      <c r="B11" s="108"/>
      <c r="C11" s="111"/>
      <c r="D11" s="116"/>
      <c r="E11" s="117"/>
      <c r="F11" s="117"/>
      <c r="G11" s="118"/>
      <c r="H11" s="112"/>
    </row>
    <row r="12" spans="2:8" ht="15.75" thickTop="1" x14ac:dyDescent="0.25">
      <c r="B12" s="108"/>
      <c r="C12" s="207" t="s">
        <v>164</v>
      </c>
      <c r="D12" s="208"/>
      <c r="E12" s="209" t="s">
        <v>202</v>
      </c>
      <c r="F12" s="210"/>
      <c r="G12" s="111"/>
      <c r="H12" s="112"/>
    </row>
    <row r="13" spans="2:8" ht="35.25" customHeight="1" x14ac:dyDescent="0.25">
      <c r="B13" s="108"/>
      <c r="C13" s="179" t="s">
        <v>195</v>
      </c>
      <c r="D13" s="180"/>
      <c r="E13" s="181" t="s">
        <v>200</v>
      </c>
      <c r="F13" s="182"/>
      <c r="G13" s="111"/>
      <c r="H13" s="112"/>
    </row>
    <row r="14" spans="2:8" ht="17.25" customHeight="1" x14ac:dyDescent="0.25">
      <c r="B14" s="108"/>
      <c r="C14" s="179" t="s">
        <v>196</v>
      </c>
      <c r="D14" s="180"/>
      <c r="E14" s="181" t="s">
        <v>198</v>
      </c>
      <c r="F14" s="182"/>
      <c r="G14" s="111"/>
      <c r="H14" s="112"/>
    </row>
    <row r="15" spans="2:8" ht="19.5" customHeight="1" x14ac:dyDescent="0.25">
      <c r="B15" s="108"/>
      <c r="C15" s="179" t="s">
        <v>197</v>
      </c>
      <c r="D15" s="180"/>
      <c r="E15" s="181" t="s">
        <v>199</v>
      </c>
      <c r="F15" s="182"/>
      <c r="G15" s="111"/>
      <c r="H15" s="112"/>
    </row>
    <row r="16" spans="2:8" ht="69.75" customHeight="1" x14ac:dyDescent="0.25">
      <c r="B16" s="108"/>
      <c r="C16" s="179" t="s">
        <v>166</v>
      </c>
      <c r="D16" s="180"/>
      <c r="E16" s="181" t="s">
        <v>167</v>
      </c>
      <c r="F16" s="182"/>
      <c r="G16" s="111"/>
      <c r="H16" s="112"/>
    </row>
    <row r="17" spans="2:8" ht="34.5" customHeight="1" x14ac:dyDescent="0.25">
      <c r="B17" s="108"/>
      <c r="C17" s="183" t="s">
        <v>2</v>
      </c>
      <c r="D17" s="184"/>
      <c r="E17" s="175" t="s">
        <v>209</v>
      </c>
      <c r="F17" s="176"/>
      <c r="G17" s="111"/>
      <c r="H17" s="112"/>
    </row>
    <row r="18" spans="2:8" ht="27.75" customHeight="1" x14ac:dyDescent="0.25">
      <c r="B18" s="108"/>
      <c r="C18" s="183" t="s">
        <v>3</v>
      </c>
      <c r="D18" s="184"/>
      <c r="E18" s="175" t="s">
        <v>210</v>
      </c>
      <c r="F18" s="176"/>
      <c r="G18" s="111"/>
      <c r="H18" s="112"/>
    </row>
    <row r="19" spans="2:8" ht="28.5" customHeight="1" x14ac:dyDescent="0.25">
      <c r="B19" s="108"/>
      <c r="C19" s="183" t="s">
        <v>42</v>
      </c>
      <c r="D19" s="184"/>
      <c r="E19" s="175" t="s">
        <v>211</v>
      </c>
      <c r="F19" s="176"/>
      <c r="G19" s="111"/>
      <c r="H19" s="112"/>
    </row>
    <row r="20" spans="2:8" ht="72.75" customHeight="1" x14ac:dyDescent="0.25">
      <c r="B20" s="108"/>
      <c r="C20" s="183" t="s">
        <v>1</v>
      </c>
      <c r="D20" s="184"/>
      <c r="E20" s="175" t="s">
        <v>212</v>
      </c>
      <c r="F20" s="176"/>
      <c r="G20" s="111"/>
      <c r="H20" s="112"/>
    </row>
    <row r="21" spans="2:8" ht="64.5" customHeight="1" x14ac:dyDescent="0.25">
      <c r="B21" s="108"/>
      <c r="C21" s="183" t="s">
        <v>49</v>
      </c>
      <c r="D21" s="184"/>
      <c r="E21" s="175" t="s">
        <v>170</v>
      </c>
      <c r="F21" s="176"/>
      <c r="G21" s="111"/>
      <c r="H21" s="112"/>
    </row>
    <row r="22" spans="2:8" ht="71.25" customHeight="1" x14ac:dyDescent="0.25">
      <c r="B22" s="108"/>
      <c r="C22" s="183" t="s">
        <v>169</v>
      </c>
      <c r="D22" s="184"/>
      <c r="E22" s="175" t="s">
        <v>171</v>
      </c>
      <c r="F22" s="176"/>
      <c r="G22" s="111"/>
      <c r="H22" s="112"/>
    </row>
    <row r="23" spans="2:8" ht="55.5" customHeight="1" x14ac:dyDescent="0.25">
      <c r="B23" s="108"/>
      <c r="C23" s="177" t="s">
        <v>172</v>
      </c>
      <c r="D23" s="178"/>
      <c r="E23" s="175" t="s">
        <v>173</v>
      </c>
      <c r="F23" s="176"/>
      <c r="G23" s="111"/>
      <c r="H23" s="112"/>
    </row>
    <row r="24" spans="2:8" ht="42" customHeight="1" x14ac:dyDescent="0.25">
      <c r="B24" s="108"/>
      <c r="C24" s="177" t="s">
        <v>47</v>
      </c>
      <c r="D24" s="178"/>
      <c r="E24" s="175" t="s">
        <v>174</v>
      </c>
      <c r="F24" s="176"/>
      <c r="G24" s="111"/>
      <c r="H24" s="112"/>
    </row>
    <row r="25" spans="2:8" ht="59.25" customHeight="1" x14ac:dyDescent="0.25">
      <c r="B25" s="108"/>
      <c r="C25" s="177" t="s">
        <v>162</v>
      </c>
      <c r="D25" s="178"/>
      <c r="E25" s="175" t="s">
        <v>175</v>
      </c>
      <c r="F25" s="176"/>
      <c r="G25" s="111"/>
      <c r="H25" s="112"/>
    </row>
    <row r="26" spans="2:8" ht="23.25" customHeight="1" x14ac:dyDescent="0.25">
      <c r="B26" s="108"/>
      <c r="C26" s="177" t="s">
        <v>12</v>
      </c>
      <c r="D26" s="178"/>
      <c r="E26" s="175" t="s">
        <v>176</v>
      </c>
      <c r="F26" s="176"/>
      <c r="G26" s="111"/>
      <c r="H26" s="112"/>
    </row>
    <row r="27" spans="2:8" ht="30.75" customHeight="1" x14ac:dyDescent="0.25">
      <c r="B27" s="108"/>
      <c r="C27" s="177" t="s">
        <v>180</v>
      </c>
      <c r="D27" s="178"/>
      <c r="E27" s="175" t="s">
        <v>177</v>
      </c>
      <c r="F27" s="176"/>
      <c r="G27" s="111"/>
      <c r="H27" s="112"/>
    </row>
    <row r="28" spans="2:8" ht="35.25" customHeight="1" x14ac:dyDescent="0.25">
      <c r="B28" s="108"/>
      <c r="C28" s="177" t="s">
        <v>181</v>
      </c>
      <c r="D28" s="178"/>
      <c r="E28" s="175" t="s">
        <v>178</v>
      </c>
      <c r="F28" s="176"/>
      <c r="G28" s="111"/>
      <c r="H28" s="112"/>
    </row>
    <row r="29" spans="2:8" ht="33" customHeight="1" x14ac:dyDescent="0.25">
      <c r="B29" s="108"/>
      <c r="C29" s="177" t="s">
        <v>181</v>
      </c>
      <c r="D29" s="178"/>
      <c r="E29" s="175" t="s">
        <v>178</v>
      </c>
      <c r="F29" s="176"/>
      <c r="G29" s="111"/>
      <c r="H29" s="112"/>
    </row>
    <row r="30" spans="2:8" ht="30" customHeight="1" x14ac:dyDescent="0.25">
      <c r="B30" s="108"/>
      <c r="C30" s="177" t="s">
        <v>182</v>
      </c>
      <c r="D30" s="178"/>
      <c r="E30" s="175" t="s">
        <v>179</v>
      </c>
      <c r="F30" s="176"/>
      <c r="G30" s="111"/>
      <c r="H30" s="112"/>
    </row>
    <row r="31" spans="2:8" ht="35.25" customHeight="1" x14ac:dyDescent="0.25">
      <c r="B31" s="108"/>
      <c r="C31" s="177" t="s">
        <v>183</v>
      </c>
      <c r="D31" s="178"/>
      <c r="E31" s="175" t="s">
        <v>184</v>
      </c>
      <c r="F31" s="176"/>
      <c r="G31" s="111"/>
      <c r="H31" s="112"/>
    </row>
    <row r="32" spans="2:8" ht="31.5" customHeight="1" x14ac:dyDescent="0.25">
      <c r="B32" s="108"/>
      <c r="C32" s="177" t="s">
        <v>185</v>
      </c>
      <c r="D32" s="178"/>
      <c r="E32" s="175" t="s">
        <v>186</v>
      </c>
      <c r="F32" s="176"/>
      <c r="G32" s="111"/>
      <c r="H32" s="112"/>
    </row>
    <row r="33" spans="2:8" ht="35.25" customHeight="1" x14ac:dyDescent="0.25">
      <c r="B33" s="108"/>
      <c r="C33" s="177" t="s">
        <v>187</v>
      </c>
      <c r="D33" s="178"/>
      <c r="E33" s="175" t="s">
        <v>188</v>
      </c>
      <c r="F33" s="176"/>
      <c r="G33" s="111"/>
      <c r="H33" s="112"/>
    </row>
    <row r="34" spans="2:8" ht="59.25" customHeight="1" x14ac:dyDescent="0.25">
      <c r="B34" s="108"/>
      <c r="C34" s="177" t="s">
        <v>189</v>
      </c>
      <c r="D34" s="178"/>
      <c r="E34" s="175" t="s">
        <v>190</v>
      </c>
      <c r="F34" s="176"/>
      <c r="G34" s="111"/>
      <c r="H34" s="112"/>
    </row>
    <row r="35" spans="2:8" ht="29.25" customHeight="1" x14ac:dyDescent="0.25">
      <c r="B35" s="108"/>
      <c r="C35" s="177" t="s">
        <v>29</v>
      </c>
      <c r="D35" s="178"/>
      <c r="E35" s="175" t="s">
        <v>191</v>
      </c>
      <c r="F35" s="176"/>
      <c r="G35" s="111"/>
      <c r="H35" s="112"/>
    </row>
    <row r="36" spans="2:8" ht="82.5" customHeight="1" x14ac:dyDescent="0.25">
      <c r="B36" s="108"/>
      <c r="C36" s="177" t="s">
        <v>193</v>
      </c>
      <c r="D36" s="178"/>
      <c r="E36" s="175" t="s">
        <v>192</v>
      </c>
      <c r="F36" s="176"/>
      <c r="G36" s="111"/>
      <c r="H36" s="112"/>
    </row>
    <row r="37" spans="2:8" ht="46.5" customHeight="1" x14ac:dyDescent="0.25">
      <c r="B37" s="108"/>
      <c r="C37" s="177" t="s">
        <v>39</v>
      </c>
      <c r="D37" s="178"/>
      <c r="E37" s="175" t="s">
        <v>194</v>
      </c>
      <c r="F37" s="176"/>
      <c r="G37" s="111"/>
      <c r="H37" s="112"/>
    </row>
    <row r="38" spans="2:8" ht="6.75" customHeight="1" thickBot="1" x14ac:dyDescent="0.3">
      <c r="B38" s="108"/>
      <c r="C38" s="188"/>
      <c r="D38" s="189"/>
      <c r="E38" s="190"/>
      <c r="F38" s="191"/>
      <c r="G38" s="111"/>
      <c r="H38" s="112"/>
    </row>
    <row r="39" spans="2:8" ht="15.75" thickTop="1" x14ac:dyDescent="0.25">
      <c r="B39" s="108"/>
      <c r="C39" s="109"/>
      <c r="D39" s="109"/>
      <c r="E39" s="110"/>
      <c r="F39" s="110"/>
      <c r="G39" s="111"/>
      <c r="H39" s="112"/>
    </row>
    <row r="40" spans="2:8" ht="21" customHeight="1" x14ac:dyDescent="0.25">
      <c r="B40" s="185" t="s">
        <v>203</v>
      </c>
      <c r="C40" s="186"/>
      <c r="D40" s="186"/>
      <c r="E40" s="186"/>
      <c r="F40" s="186"/>
      <c r="G40" s="186"/>
      <c r="H40" s="187"/>
    </row>
    <row r="41" spans="2:8" ht="20.25" customHeight="1" x14ac:dyDescent="0.25">
      <c r="B41" s="185" t="s">
        <v>204</v>
      </c>
      <c r="C41" s="186"/>
      <c r="D41" s="186"/>
      <c r="E41" s="186"/>
      <c r="F41" s="186"/>
      <c r="G41" s="186"/>
      <c r="H41" s="187"/>
    </row>
    <row r="42" spans="2:8" ht="20.25" customHeight="1" x14ac:dyDescent="0.25">
      <c r="B42" s="185" t="s">
        <v>205</v>
      </c>
      <c r="C42" s="186"/>
      <c r="D42" s="186"/>
      <c r="E42" s="186"/>
      <c r="F42" s="186"/>
      <c r="G42" s="186"/>
      <c r="H42" s="187"/>
    </row>
    <row r="43" spans="2:8" ht="20.25" customHeight="1" x14ac:dyDescent="0.25">
      <c r="B43" s="185" t="s">
        <v>206</v>
      </c>
      <c r="C43" s="186"/>
      <c r="D43" s="186"/>
      <c r="E43" s="186"/>
      <c r="F43" s="186"/>
      <c r="G43" s="186"/>
      <c r="H43" s="187"/>
    </row>
    <row r="44" spans="2:8" x14ac:dyDescent="0.25">
      <c r="B44" s="185" t="s">
        <v>207</v>
      </c>
      <c r="C44" s="186"/>
      <c r="D44" s="186"/>
      <c r="E44" s="186"/>
      <c r="F44" s="186"/>
      <c r="G44" s="186"/>
      <c r="H44" s="187"/>
    </row>
    <row r="45" spans="2:8" ht="15.75" thickBot="1" x14ac:dyDescent="0.3">
      <c r="B45" s="113"/>
      <c r="C45" s="114"/>
      <c r="D45" s="114"/>
      <c r="E45" s="114"/>
      <c r="F45" s="114"/>
      <c r="G45" s="114"/>
      <c r="H45" s="115"/>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142"/>
  <sheetViews>
    <sheetView tabSelected="1" zoomScale="80" zoomScaleNormal="80" workbookViewId="0">
      <pane xSplit="15" ySplit="9" topLeftCell="P141" activePane="bottomRight" state="frozen"/>
      <selection pane="topRight" activeCell="P1" sqref="P1"/>
      <selection pane="bottomLeft" activeCell="A10" sqref="A10"/>
      <selection pane="bottomRight" activeCell="K145" sqref="K145"/>
    </sheetView>
  </sheetViews>
  <sheetFormatPr baseColWidth="10" defaultColWidth="11.42578125" defaultRowHeight="16.5" x14ac:dyDescent="0.3"/>
  <cols>
    <col min="1" max="1" width="4" style="2" bestFit="1" customWidth="1"/>
    <col min="2" max="2" width="4" style="2" customWidth="1"/>
    <col min="3" max="3" width="17" style="2" customWidth="1"/>
    <col min="4" max="4" width="22.140625" style="2" customWidth="1"/>
    <col min="5" max="5" width="16.140625" style="2" customWidth="1"/>
    <col min="6" max="6" width="36.7109375" style="1" customWidth="1"/>
    <col min="7" max="7" width="19" style="5" customWidth="1"/>
    <col min="8" max="8" width="17.85546875" style="1" customWidth="1"/>
    <col min="9" max="9" width="16.5703125" style="1" customWidth="1"/>
    <col min="10" max="10" width="6.28515625" style="1" bestFit="1" customWidth="1"/>
    <col min="11" max="11" width="27.28515625" style="1" bestFit="1" customWidth="1"/>
    <col min="12" max="12" width="30.5703125" style="1" hidden="1" customWidth="1"/>
    <col min="13" max="13" width="17.5703125" style="1" customWidth="1"/>
    <col min="14" max="14" width="0.42578125" style="1" customWidth="1"/>
    <col min="15" max="15" width="16" style="1" hidden="1" customWidth="1"/>
    <col min="16" max="16" width="5.85546875" style="1" customWidth="1"/>
    <col min="17" max="17" width="37.28515625" style="1" customWidth="1"/>
    <col min="18" max="18" width="15.140625" style="1" bestFit="1" customWidth="1"/>
    <col min="19" max="19" width="6.85546875" style="1" customWidth="1"/>
    <col min="20" max="20" width="5" style="1" customWidth="1"/>
    <col min="21" max="21" width="5.5703125" style="1" customWidth="1"/>
    <col min="22" max="22" width="7.140625" style="1" customWidth="1"/>
    <col min="23" max="23" width="6.7109375" style="1" customWidth="1"/>
    <col min="24" max="24" width="7.5703125" style="1" customWidth="1"/>
    <col min="25" max="25" width="38.28515625" style="1" hidden="1" customWidth="1"/>
    <col min="26" max="26" width="8.7109375" style="1" customWidth="1"/>
    <col min="27" max="27" width="10.42578125" style="1" customWidth="1"/>
    <col min="28" max="28" width="9.28515625" style="1" customWidth="1"/>
    <col min="29" max="29" width="9.140625" style="1" customWidth="1"/>
    <col min="30" max="30" width="8.42578125" style="1" customWidth="1"/>
    <col min="31" max="31" width="7.28515625" style="1" customWidth="1"/>
    <col min="32" max="32" width="32.140625" style="1" customWidth="1"/>
    <col min="33" max="33" width="18.85546875" style="1" customWidth="1"/>
    <col min="34" max="34" width="16.85546875" style="1" customWidth="1"/>
    <col min="35" max="35" width="14.85546875" style="1" customWidth="1"/>
    <col min="36" max="36" width="18.5703125" style="1" customWidth="1"/>
    <col min="37" max="37" width="21" style="1" customWidth="1"/>
    <col min="38" max="16384" width="11.42578125" style="1"/>
  </cols>
  <sheetData>
    <row r="1" spans="1:69" ht="1.5" customHeight="1" x14ac:dyDescent="0.3">
      <c r="A1" s="267" t="s">
        <v>143</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9"/>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ht="24" customHeight="1" x14ac:dyDescent="0.3">
      <c r="A2" s="270"/>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2"/>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3" spans="1:69" x14ac:dyDescent="0.3">
      <c r="A3" s="27"/>
      <c r="B3" s="27"/>
      <c r="C3" s="28"/>
      <c r="D3" s="27"/>
      <c r="E3" s="27"/>
      <c r="F3" s="7"/>
      <c r="G3" s="26"/>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23.25" customHeight="1" x14ac:dyDescent="0.3">
      <c r="A4" s="220" t="s">
        <v>546</v>
      </c>
      <c r="B4" s="221"/>
      <c r="C4" s="221"/>
      <c r="D4" s="221"/>
      <c r="E4" s="221"/>
      <c r="F4" s="221"/>
      <c r="G4" s="221"/>
      <c r="H4" s="221"/>
      <c r="I4" s="221"/>
      <c r="J4" s="221"/>
      <c r="K4" s="221"/>
      <c r="L4" s="221"/>
      <c r="M4" s="221"/>
      <c r="N4" s="221"/>
      <c r="O4" s="222"/>
      <c r="P4" s="301"/>
      <c r="Q4" s="301"/>
      <c r="R4" s="301"/>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30" hidden="1" customHeight="1" x14ac:dyDescent="0.3">
      <c r="A5" s="283" t="s">
        <v>129</v>
      </c>
      <c r="B5" s="284"/>
      <c r="C5" s="285"/>
      <c r="D5" s="294"/>
      <c r="E5" s="295"/>
      <c r="F5" s="295"/>
      <c r="G5" s="295"/>
      <c r="H5" s="295"/>
      <c r="I5" s="295"/>
      <c r="J5" s="295"/>
      <c r="K5" s="295"/>
      <c r="L5" s="295"/>
      <c r="M5" s="295"/>
      <c r="N5" s="295"/>
      <c r="O5" s="296"/>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49.5" hidden="1" customHeight="1" x14ac:dyDescent="0.3">
      <c r="A6" s="283" t="s">
        <v>43</v>
      </c>
      <c r="B6" s="284"/>
      <c r="C6" s="285"/>
      <c r="D6" s="297"/>
      <c r="E6" s="298"/>
      <c r="F6" s="298"/>
      <c r="G6" s="298"/>
      <c r="H6" s="298"/>
      <c r="I6" s="298"/>
      <c r="J6" s="298"/>
      <c r="K6" s="298"/>
      <c r="L6" s="298"/>
      <c r="M6" s="298"/>
      <c r="N6" s="298"/>
      <c r="O6" s="299"/>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ht="66" customHeight="1" x14ac:dyDescent="0.3">
      <c r="A7" s="273" t="s">
        <v>138</v>
      </c>
      <c r="B7" s="274"/>
      <c r="C7" s="274"/>
      <c r="D7" s="274"/>
      <c r="E7" s="274"/>
      <c r="F7" s="274"/>
      <c r="G7" s="274"/>
      <c r="H7" s="275"/>
      <c r="I7" s="273" t="s">
        <v>139</v>
      </c>
      <c r="J7" s="274"/>
      <c r="K7" s="274"/>
      <c r="L7" s="274"/>
      <c r="M7" s="274"/>
      <c r="N7" s="274"/>
      <c r="O7" s="275"/>
      <c r="P7" s="273" t="s">
        <v>140</v>
      </c>
      <c r="Q7" s="274"/>
      <c r="R7" s="274"/>
      <c r="S7" s="274"/>
      <c r="T7" s="274"/>
      <c r="U7" s="274"/>
      <c r="V7" s="274"/>
      <c r="W7" s="274"/>
      <c r="X7" s="275"/>
      <c r="Y7" s="273" t="s">
        <v>141</v>
      </c>
      <c r="Z7" s="274"/>
      <c r="AA7" s="274"/>
      <c r="AB7" s="274"/>
      <c r="AC7" s="274"/>
      <c r="AD7" s="274"/>
      <c r="AE7" s="275"/>
      <c r="AF7" s="273" t="s">
        <v>34</v>
      </c>
      <c r="AG7" s="274"/>
      <c r="AH7" s="274"/>
      <c r="AI7" s="274"/>
      <c r="AJ7" s="274"/>
      <c r="AK7" s="275"/>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16.5" customHeight="1" x14ac:dyDescent="0.3">
      <c r="A8" s="286" t="s">
        <v>0</v>
      </c>
      <c r="B8" s="137"/>
      <c r="C8" s="291" t="s">
        <v>2</v>
      </c>
      <c r="D8" s="289" t="s">
        <v>3</v>
      </c>
      <c r="E8" s="289" t="s">
        <v>42</v>
      </c>
      <c r="F8" s="290" t="s">
        <v>1</v>
      </c>
      <c r="G8" s="288" t="s">
        <v>49</v>
      </c>
      <c r="H8" s="289" t="s">
        <v>134</v>
      </c>
      <c r="I8" s="304" t="s">
        <v>33</v>
      </c>
      <c r="J8" s="305" t="s">
        <v>5</v>
      </c>
      <c r="K8" s="288" t="s">
        <v>86</v>
      </c>
      <c r="L8" s="288" t="s">
        <v>91</v>
      </c>
      <c r="M8" s="307" t="s">
        <v>44</v>
      </c>
      <c r="N8" s="305" t="s">
        <v>5</v>
      </c>
      <c r="O8" s="289" t="s">
        <v>47</v>
      </c>
      <c r="P8" s="292" t="s">
        <v>11</v>
      </c>
      <c r="Q8" s="282" t="s">
        <v>162</v>
      </c>
      <c r="R8" s="288" t="s">
        <v>12</v>
      </c>
      <c r="S8" s="282" t="s">
        <v>8</v>
      </c>
      <c r="T8" s="282"/>
      <c r="U8" s="282"/>
      <c r="V8" s="282"/>
      <c r="W8" s="282"/>
      <c r="X8" s="282"/>
      <c r="Y8" s="300" t="s">
        <v>137</v>
      </c>
      <c r="Z8" s="300" t="s">
        <v>45</v>
      </c>
      <c r="AA8" s="300" t="s">
        <v>5</v>
      </c>
      <c r="AB8" s="300" t="s">
        <v>46</v>
      </c>
      <c r="AC8" s="300" t="s">
        <v>5</v>
      </c>
      <c r="AD8" s="300" t="s">
        <v>48</v>
      </c>
      <c r="AE8" s="292" t="s">
        <v>29</v>
      </c>
      <c r="AF8" s="282" t="s">
        <v>34</v>
      </c>
      <c r="AG8" s="282" t="s">
        <v>35</v>
      </c>
      <c r="AH8" s="282" t="s">
        <v>36</v>
      </c>
      <c r="AI8" s="282" t="s">
        <v>38</v>
      </c>
      <c r="AJ8" s="282" t="s">
        <v>37</v>
      </c>
      <c r="AK8" s="282" t="s">
        <v>39</v>
      </c>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4" customFormat="1" ht="94.5" customHeight="1" x14ac:dyDescent="0.25">
      <c r="A9" s="287"/>
      <c r="B9" s="138" t="s">
        <v>195</v>
      </c>
      <c r="C9" s="291"/>
      <c r="D9" s="282"/>
      <c r="E9" s="282"/>
      <c r="F9" s="291"/>
      <c r="G9" s="289"/>
      <c r="H9" s="282"/>
      <c r="I9" s="289"/>
      <c r="J9" s="306"/>
      <c r="K9" s="289"/>
      <c r="L9" s="289"/>
      <c r="M9" s="306"/>
      <c r="N9" s="306"/>
      <c r="O9" s="282"/>
      <c r="P9" s="293"/>
      <c r="Q9" s="282"/>
      <c r="R9" s="289"/>
      <c r="S9" s="6" t="s">
        <v>13</v>
      </c>
      <c r="T9" s="6" t="s">
        <v>17</v>
      </c>
      <c r="U9" s="6" t="s">
        <v>28</v>
      </c>
      <c r="V9" s="6" t="s">
        <v>18</v>
      </c>
      <c r="W9" s="6" t="s">
        <v>21</v>
      </c>
      <c r="X9" s="6" t="s">
        <v>24</v>
      </c>
      <c r="Y9" s="300"/>
      <c r="Z9" s="300"/>
      <c r="AA9" s="300"/>
      <c r="AB9" s="300"/>
      <c r="AC9" s="300"/>
      <c r="AD9" s="300"/>
      <c r="AE9" s="293"/>
      <c r="AF9" s="282"/>
      <c r="AG9" s="282"/>
      <c r="AH9" s="282"/>
      <c r="AI9" s="282"/>
      <c r="AJ9" s="282"/>
      <c r="AK9" s="282"/>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row>
    <row r="10" spans="1:69" s="3" customFormat="1" ht="51.75" customHeight="1" x14ac:dyDescent="0.25">
      <c r="A10" s="235">
        <v>1</v>
      </c>
      <c r="B10" s="302" t="s">
        <v>250</v>
      </c>
      <c r="C10" s="225" t="s">
        <v>131</v>
      </c>
      <c r="D10" s="225" t="s">
        <v>213</v>
      </c>
      <c r="E10" s="225" t="s">
        <v>214</v>
      </c>
      <c r="F10" s="223" t="s">
        <v>229</v>
      </c>
      <c r="G10" s="225" t="s">
        <v>122</v>
      </c>
      <c r="H10" s="227">
        <v>10</v>
      </c>
      <c r="I10" s="229" t="str">
        <f>IF(H10&lt;=0,"",IF(H10&lt;=2,"Muy Baja",IF(H10&lt;=15,"Baja",IF(H10&lt;=100,"Media",IF(H10&lt;=1000,"Alta","Muy Alta")))))</f>
        <v>Baja</v>
      </c>
      <c r="J10" s="231">
        <f>IF(I10="","",IF(I10="Muy Baja",0.2,IF(I10="Baja",0.4,IF(I10="Media",0.6,IF(I10="Alta",0.8,IF(I10="Muy Alta",1,))))))</f>
        <v>0.4</v>
      </c>
      <c r="K10" s="233" t="s">
        <v>152</v>
      </c>
      <c r="L10" s="231" t="str">
        <f>IF(NOT(ISERROR(MATCH(K10,'Tabla Impacto'!$B$221:$B$223,0))),'Tabla Impacto'!$F$223&amp;"Por favor no seleccionar los criterios de impacto(Afectación Económica o presupuestal y Pérdida Reputacional)",K10)</f>
        <v xml:space="preserve">     El riesgo afecta la imagen de alguna área de la organización</v>
      </c>
      <c r="M10" s="229" t="str">
        <f>IF(OR(L10='Tabla Impacto'!$C$11,L10='Tabla Impacto'!$D$11),"Leve",IF(OR(L10='Tabla Impacto'!$C$12,L10='Tabla Impacto'!$D$12),"Menor",IF(OR(L10='Tabla Impacto'!$C$13,L10='Tabla Impacto'!$D$13),"Moderado",IF(OR(L10='Tabla Impacto'!$C$14,L10='Tabla Impacto'!$D$14),"Mayor",IF(OR(L10='Tabla Impacto'!$C$15,L10='Tabla Impacto'!$D$15),"Catastrófico","")))))</f>
        <v>Leve</v>
      </c>
      <c r="N10" s="231">
        <f>IF(M10="","",IF(M10="Leve",0.2,IF(M10="Menor",0.4,IF(M10="Moderado",0.6,IF(M10="Mayor",0.8,IF(M10="Catastrófico",1,))))))</f>
        <v>0.2</v>
      </c>
      <c r="O10" s="214" t="str">
        <f>IF(OR(AND(I10="Muy Baja",M10="Leve"),AND(I10="Muy Baja",M10="Menor"),AND(I10="Baja",M10="Leve")),"Bajo",IF(OR(AND(I10="Muy baja",M10="Moderado"),AND(I10="Baja",M10="Menor"),AND(I10="Baja",M10="Moderado"),AND(I10="Media",M10="Leve"),AND(I10="Media",M10="Menor"),AND(I10="Media",M10="Moderado"),AND(I10="Alta",M10="Leve"),AND(I10="Alta",M10="Menor")),"Moderado",IF(OR(AND(I10="Muy Baja",M10="Mayor"),AND(I10="Baja",M10="Mayor"),AND(I10="Media",M10="Mayor"),AND(I10="Alta",M10="Moderado"),AND(I10="Alta",M10="Mayor"),AND(I10="Muy Alta",M10="Leve"),AND(I10="Muy Alta",M10="Menor"),AND(I10="Muy Alta",M10="Moderado"),AND(I10="Muy Alta",M10="Mayor")),"Alto",IF(OR(AND(I10="Muy Baja",M10="Catastrófico"),AND(I10="Baja",M10="Catastrófico"),AND(I10="Media",M10="Catastrófico"),AND(I10="Alta",M10="Catastrófico"),AND(I10="Muy Alta",M10="Catastrófico")),"Extremo",""))))</f>
        <v>Bajo</v>
      </c>
      <c r="P10" s="122">
        <v>1</v>
      </c>
      <c r="Q10" s="123" t="s">
        <v>284</v>
      </c>
      <c r="R10" s="124" t="str">
        <f t="shared" ref="R10:R36" si="0">IF(OR(S10="Preventivo",S10="Detectivo"),"Probabilidad",IF(S10="Correctivo","Impacto",""))</f>
        <v>Probabilidad</v>
      </c>
      <c r="S10" s="125" t="s">
        <v>14</v>
      </c>
      <c r="T10" s="125" t="s">
        <v>9</v>
      </c>
      <c r="U10" s="126" t="str">
        <f t="shared" ref="U10:U25" si="1">IF(AND(S10="Preventivo",T10="Automático"),"50%",IF(AND(S10="Preventivo",T10="Manual"),"40%",IF(AND(S10="Detectivo",T10="Automático"),"40%",IF(AND(S10="Detectivo",T10="Manual"),"30%",IF(AND(S10="Correctivo",T10="Automático"),"35%",IF(AND(S10="Correctivo",T10="Manual"),"25%",""))))))</f>
        <v>40%</v>
      </c>
      <c r="V10" s="125" t="s">
        <v>19</v>
      </c>
      <c r="W10" s="125" t="s">
        <v>23</v>
      </c>
      <c r="X10" s="125" t="s">
        <v>118</v>
      </c>
      <c r="Y10" s="127">
        <f>IFERROR(IF(R10="Probabilidad",(J10-(+J10*U10)),IF(R10="Impacto",J10,"")),"")</f>
        <v>0.24</v>
      </c>
      <c r="Z10" s="128" t="str">
        <f>IFERROR(IF(Y10="","",IF(Y10&lt;=0.2,"Muy Baja",IF(Y10&lt;=0.4,"Baja",IF(Y10&lt;=0.6,"Media",IF(Y10&lt;=0.8,"Alta","Muy Alta"))))),"")</f>
        <v>Baja</v>
      </c>
      <c r="AA10" s="129">
        <f t="shared" ref="AA10:AA26" si="2">+Y10</f>
        <v>0.24</v>
      </c>
      <c r="AB10" s="128" t="str">
        <f>IFERROR(IF(AC10="","",IF(AC10&lt;=0.2,"Leve",IF(AC10&lt;=0.4,"Menor",IF(AC10&lt;=0.6,"Moderado",IF(AC10&lt;=0.8,"Mayor","Catastrófico"))))),"")</f>
        <v>Leve</v>
      </c>
      <c r="AC10" s="129">
        <f>IFERROR(IF(R10="Impacto",(N10-(+N10*U10)),IF(R10="Probabilidad",N10,"")),"")</f>
        <v>0.2</v>
      </c>
      <c r="AD10" s="130" t="str">
        <f t="shared" ref="AD10:AD26" si="3">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Bajo</v>
      </c>
      <c r="AE10" s="131" t="s">
        <v>31</v>
      </c>
      <c r="AF10" s="132"/>
      <c r="AG10" s="133"/>
      <c r="AH10" s="134"/>
      <c r="AI10" s="134"/>
      <c r="AJ10" s="132"/>
      <c r="AK10" s="133" t="s">
        <v>41</v>
      </c>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row>
    <row r="11" spans="1:69" ht="74.25" customHeight="1" x14ac:dyDescent="0.3">
      <c r="A11" s="236"/>
      <c r="B11" s="303"/>
      <c r="C11" s="226"/>
      <c r="D11" s="226"/>
      <c r="E11" s="226"/>
      <c r="F11" s="224"/>
      <c r="G11" s="226"/>
      <c r="H11" s="228"/>
      <c r="I11" s="230"/>
      <c r="J11" s="232"/>
      <c r="K11" s="234"/>
      <c r="L11" s="232">
        <f>IF(NOT(ISERROR(MATCH(K11,_xlfn.ANCHORARRAY(F17),0))),J19&amp;"Por favor no seleccionar los criterios de impacto",K11)</f>
        <v>0</v>
      </c>
      <c r="M11" s="230"/>
      <c r="N11" s="232"/>
      <c r="O11" s="215"/>
      <c r="P11" s="122">
        <v>2</v>
      </c>
      <c r="Q11" s="123" t="s">
        <v>287</v>
      </c>
      <c r="R11" s="124" t="str">
        <f t="shared" si="0"/>
        <v>Probabilidad</v>
      </c>
      <c r="S11" s="125" t="s">
        <v>15</v>
      </c>
      <c r="T11" s="125" t="s">
        <v>9</v>
      </c>
      <c r="U11" s="126" t="str">
        <f t="shared" si="1"/>
        <v>30%</v>
      </c>
      <c r="V11" s="125" t="s">
        <v>19</v>
      </c>
      <c r="W11" s="125" t="s">
        <v>23</v>
      </c>
      <c r="X11" s="125" t="s">
        <v>118</v>
      </c>
      <c r="Y11" s="127">
        <f>IFERROR(IF(AND(R10="Probabilidad",R11="Probabilidad"),(AA10-(+AA10*U11)),IF(R11="Probabilidad",(J10-(+J10*U11)),IF(R11="Impacto",AA10,""))),"")</f>
        <v>0.16799999999999998</v>
      </c>
      <c r="Z11" s="128" t="str">
        <f t="shared" ref="Z11:Z25" si="4">IFERROR(IF(Y11="","",IF(Y11&lt;=0.2,"Muy Baja",IF(Y11&lt;=0.4,"Baja",IF(Y11&lt;=0.6,"Media",IF(Y11&lt;=0.8,"Alta","Muy Alta"))))),"")</f>
        <v>Muy Baja</v>
      </c>
      <c r="AA11" s="129">
        <f t="shared" si="2"/>
        <v>0.16799999999999998</v>
      </c>
      <c r="AB11" s="128" t="str">
        <f t="shared" ref="AB11:AB25" si="5">IFERROR(IF(AC11="","",IF(AC11&lt;=0.2,"Leve",IF(AC11&lt;=0.4,"Menor",IF(AC11&lt;=0.6,"Moderado",IF(AC11&lt;=0.8,"Mayor","Catastrófico"))))),"")</f>
        <v>Leve</v>
      </c>
      <c r="AC11" s="129">
        <f>IFERROR(IF(AND(R10="Impacto",R11="Impacto"),(AC10-(+AC10*U11)),IF(R11="Impacto",(N10-(+N10*U11)),IF(R11="Probabilidad",AC10,""))),"")</f>
        <v>0.2</v>
      </c>
      <c r="AD11" s="130" t="str">
        <f t="shared" si="3"/>
        <v>Bajo</v>
      </c>
      <c r="AE11" s="131" t="s">
        <v>31</v>
      </c>
      <c r="AF11" s="132" t="s">
        <v>288</v>
      </c>
      <c r="AG11" s="132" t="s">
        <v>289</v>
      </c>
      <c r="AH11" s="134" t="s">
        <v>285</v>
      </c>
      <c r="AI11" s="134" t="s">
        <v>290</v>
      </c>
      <c r="AJ11" s="132" t="s">
        <v>286</v>
      </c>
      <c r="AK11" s="133" t="s">
        <v>41</v>
      </c>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row>
    <row r="12" spans="1:69" ht="76.5" customHeight="1" x14ac:dyDescent="0.3">
      <c r="A12" s="236"/>
      <c r="B12" s="303"/>
      <c r="C12" s="226"/>
      <c r="D12" s="226"/>
      <c r="E12" s="226"/>
      <c r="F12" s="224"/>
      <c r="G12" s="226"/>
      <c r="H12" s="228"/>
      <c r="I12" s="230"/>
      <c r="J12" s="232"/>
      <c r="K12" s="234"/>
      <c r="L12" s="232">
        <f>IF(NOT(ISERROR(MATCH(K12,_xlfn.ANCHORARRAY(F18),0))),#REF!&amp;"Por favor no seleccionar los criterios de impacto",K12)</f>
        <v>0</v>
      </c>
      <c r="M12" s="230"/>
      <c r="N12" s="232"/>
      <c r="O12" s="215"/>
      <c r="P12" s="122">
        <v>3</v>
      </c>
      <c r="Q12" s="135" t="s">
        <v>291</v>
      </c>
      <c r="R12" s="124" t="str">
        <f t="shared" si="0"/>
        <v>Impacto</v>
      </c>
      <c r="S12" s="125" t="s">
        <v>16</v>
      </c>
      <c r="T12" s="125" t="s">
        <v>9</v>
      </c>
      <c r="U12" s="126" t="str">
        <f t="shared" si="1"/>
        <v>25%</v>
      </c>
      <c r="V12" s="125" t="s">
        <v>19</v>
      </c>
      <c r="W12" s="125" t="s">
        <v>23</v>
      </c>
      <c r="X12" s="125" t="s">
        <v>119</v>
      </c>
      <c r="Y12" s="127">
        <f>IFERROR(IF(AND(R11="Probabilidad",R12="Probabilidad"),(AA11-(+AA11*U12)),IF(AND(R11="Impacto",R12="Probabilidad"),(AA10-(+AA10*U12)),IF(R12="Impacto",AA11,""))),"")</f>
        <v>0.16799999999999998</v>
      </c>
      <c r="Z12" s="128" t="str">
        <f t="shared" si="4"/>
        <v>Muy Baja</v>
      </c>
      <c r="AA12" s="129">
        <f t="shared" si="2"/>
        <v>0.16799999999999998</v>
      </c>
      <c r="AB12" s="128" t="str">
        <f t="shared" si="5"/>
        <v>Leve</v>
      </c>
      <c r="AC12" s="129">
        <f>IFERROR(IF(AND(R11="Impacto",R12="Impacto"),(AC11-(+AC11*U12)),IF(AND(R11="Probabilidad",R12="Impacto"),(AC10-(+AC10*U12)),IF(R12="Probabilidad",AC11,""))),"")</f>
        <v>0.15000000000000002</v>
      </c>
      <c r="AD12" s="130" t="str">
        <f t="shared" si="3"/>
        <v>Bajo</v>
      </c>
      <c r="AE12" s="131" t="s">
        <v>135</v>
      </c>
      <c r="AF12" s="132" t="s">
        <v>295</v>
      </c>
      <c r="AG12" s="132" t="s">
        <v>289</v>
      </c>
      <c r="AH12" s="134" t="s">
        <v>292</v>
      </c>
      <c r="AI12" s="134" t="s">
        <v>293</v>
      </c>
      <c r="AJ12" s="132" t="s">
        <v>294</v>
      </c>
      <c r="AK12" s="133"/>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1:69" ht="45.75" customHeight="1" x14ac:dyDescent="0.3">
      <c r="A13" s="235">
        <v>2</v>
      </c>
      <c r="B13" s="303"/>
      <c r="C13" s="225" t="s">
        <v>131</v>
      </c>
      <c r="D13" s="225" t="s">
        <v>215</v>
      </c>
      <c r="E13" s="225" t="s">
        <v>216</v>
      </c>
      <c r="F13" s="223" t="s">
        <v>217</v>
      </c>
      <c r="G13" s="225" t="s">
        <v>122</v>
      </c>
      <c r="H13" s="227">
        <v>1</v>
      </c>
      <c r="I13" s="229" t="str">
        <f>IF(H13&lt;=0,"",IF(H13&lt;=2,"Muy Baja",IF(H13&lt;=15,"Baja",IF(H13&lt;=100,"Media",IF(H13&lt;=1000,"Alta","Muy Alta")))))</f>
        <v>Muy Baja</v>
      </c>
      <c r="J13" s="231">
        <f>IF(I13="","",IF(I13="Muy Baja",0.2,IF(I13="Baja",0.4,IF(I13="Media",0.6,IF(I13="Alta",0.8,IF(I13="Muy Alta",1,))))))</f>
        <v>0.2</v>
      </c>
      <c r="K13" s="233" t="s">
        <v>152</v>
      </c>
      <c r="L13" s="231" t="str">
        <f>IF(NOT(ISERROR(MATCH(K13,'Tabla Impacto'!$B$221:$B$223,0))),'Tabla Impacto'!$F$223&amp;"Por favor no seleccionar los criterios de impacto(Afectación Económica o presupuestal y Pérdida Reputacional)",K13)</f>
        <v xml:space="preserve">     El riesgo afecta la imagen de alguna área de la organización</v>
      </c>
      <c r="M13" s="229" t="str">
        <f>IF(OR(L13='Tabla Impacto'!$C$11,L13='Tabla Impacto'!$D$11),"Leve",IF(OR(L13='Tabla Impacto'!$C$12,L13='Tabla Impacto'!$D$12),"Menor",IF(OR(L13='Tabla Impacto'!$C$13,L13='Tabla Impacto'!$D$13),"Moderado",IF(OR(L13='Tabla Impacto'!$C$14,L13='Tabla Impacto'!$D$14),"Mayor",IF(OR(L13='Tabla Impacto'!$C$15,L13='Tabla Impacto'!$D$15),"Catastrófico","")))))</f>
        <v>Leve</v>
      </c>
      <c r="N13" s="231">
        <f>IF(M13="","",IF(M13="Leve",0.2,IF(M13="Menor",0.4,IF(M13="Moderado",0.6,IF(M13="Mayor",0.8,IF(M13="Catastrófico",1,))))))</f>
        <v>0.2</v>
      </c>
      <c r="O13" s="214" t="str">
        <f>IF(OR(AND(I13="Muy Baja",M13="Leve"),AND(I13="Muy Baja",M13="Menor"),AND(I13="Baja",M13="Leve")),"Bajo",IF(OR(AND(I13="Muy baja",M13="Moderado"),AND(I13="Baja",M13="Menor"),AND(I13="Baja",M13="Moderado"),AND(I13="Media",M13="Leve"),AND(I13="Media",M13="Menor"),AND(I13="Media",M13="Moderado"),AND(I13="Alta",M13="Leve"),AND(I13="Alta",M13="Menor")),"Moderado",IF(OR(AND(I13="Muy Baja",M13="Mayor"),AND(I13="Baja",M13="Mayor"),AND(I13="Media",M13="Mayor"),AND(I13="Alta",M13="Moderado"),AND(I13="Alta",M13="Mayor"),AND(I13="Muy Alta",M13="Leve"),AND(I13="Muy Alta",M13="Menor"),AND(I13="Muy Alta",M13="Moderado"),AND(I13="Muy Alta",M13="Mayor")),"Alto",IF(OR(AND(I13="Muy Baja",M13="Catastrófico"),AND(I13="Baja",M13="Catastrófico"),AND(I13="Media",M13="Catastrófico"),AND(I13="Alta",M13="Catastrófico"),AND(I13="Muy Alta",M13="Catastrófico")),"Extremo",""))))</f>
        <v>Bajo</v>
      </c>
      <c r="P13" s="122">
        <v>1</v>
      </c>
      <c r="Q13" s="123" t="s">
        <v>296</v>
      </c>
      <c r="R13" s="124" t="str">
        <f t="shared" si="0"/>
        <v>Probabilidad</v>
      </c>
      <c r="S13" s="139" t="s">
        <v>14</v>
      </c>
      <c r="T13" s="125" t="s">
        <v>9</v>
      </c>
      <c r="U13" s="126" t="str">
        <f t="shared" si="1"/>
        <v>40%</v>
      </c>
      <c r="V13" s="125" t="s">
        <v>20</v>
      </c>
      <c r="W13" s="125" t="s">
        <v>23</v>
      </c>
      <c r="X13" s="125" t="s">
        <v>119</v>
      </c>
      <c r="Y13" s="127">
        <f>IFERROR(IF(R13="Probabilidad",(J13-(+J13*U13)),IF(R13="Impacto",J13,"")),"")</f>
        <v>0.12</v>
      </c>
      <c r="Z13" s="128" t="str">
        <f>IFERROR(IF(Y13="","",IF(Y13&lt;=0.2,"Muy Baja",IF(Y13&lt;=0.4,"Baja",IF(Y13&lt;=0.6,"Media",IF(Y13&lt;=0.8,"Alta","Muy Alta"))))),"")</f>
        <v>Muy Baja</v>
      </c>
      <c r="AA13" s="129">
        <f t="shared" si="2"/>
        <v>0.12</v>
      </c>
      <c r="AB13" s="128" t="str">
        <f>IFERROR(IF(AC13="","",IF(AC13&lt;=0.2,"Leve",IF(AC13&lt;=0.4,"Menor",IF(AC13&lt;=0.6,"Moderado",IF(AC13&lt;=0.8,"Mayor","Catastrófico"))))),"")</f>
        <v>Leve</v>
      </c>
      <c r="AC13" s="129">
        <f>IFERROR(IF(R13="Impacto",(N13-(+N13*U13)),IF(R13="Probabilidad",N13,"")),"")</f>
        <v>0.2</v>
      </c>
      <c r="AD13" s="130" t="str">
        <f t="shared" si="3"/>
        <v>Bajo</v>
      </c>
      <c r="AE13" s="131" t="s">
        <v>32</v>
      </c>
      <c r="AF13" s="132"/>
      <c r="AG13" s="133"/>
      <c r="AH13" s="134"/>
      <c r="AI13" s="134"/>
      <c r="AJ13" s="132"/>
      <c r="AK13" s="133"/>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60" customHeight="1" x14ac:dyDescent="0.3">
      <c r="A14" s="236"/>
      <c r="B14" s="303"/>
      <c r="C14" s="226"/>
      <c r="D14" s="226"/>
      <c r="E14" s="226"/>
      <c r="F14" s="224"/>
      <c r="G14" s="226"/>
      <c r="H14" s="228"/>
      <c r="I14" s="230"/>
      <c r="J14" s="232"/>
      <c r="K14" s="234"/>
      <c r="L14" s="232">
        <f>IF(NOT(ISERROR(MATCH(K14,_xlfn.ANCHORARRAY(F20),0))),#REF!&amp;"Por favor no seleccionar los criterios de impacto",K14)</f>
        <v>0</v>
      </c>
      <c r="M14" s="230"/>
      <c r="N14" s="232"/>
      <c r="O14" s="215"/>
      <c r="P14" s="122">
        <v>2</v>
      </c>
      <c r="Q14" s="123" t="s">
        <v>297</v>
      </c>
      <c r="R14" s="124" t="str">
        <f t="shared" si="0"/>
        <v>Probabilidad</v>
      </c>
      <c r="S14" s="125" t="s">
        <v>14</v>
      </c>
      <c r="T14" s="125" t="s">
        <v>9</v>
      </c>
      <c r="U14" s="126" t="str">
        <f t="shared" si="1"/>
        <v>40%</v>
      </c>
      <c r="V14" s="125" t="s">
        <v>19</v>
      </c>
      <c r="W14" s="125" t="s">
        <v>23</v>
      </c>
      <c r="X14" s="125" t="s">
        <v>118</v>
      </c>
      <c r="Y14" s="127">
        <f>IFERROR(IF(AND(R13="Probabilidad",R14="Probabilidad"),(AA13-(+AA13*U14)),IF(R14="Probabilidad",(J13-(+J13*U14)),IF(R14="Impacto",AA13,""))),"")</f>
        <v>7.1999999999999995E-2</v>
      </c>
      <c r="Z14" s="128" t="str">
        <f t="shared" si="4"/>
        <v>Muy Baja</v>
      </c>
      <c r="AA14" s="129">
        <f t="shared" si="2"/>
        <v>7.1999999999999995E-2</v>
      </c>
      <c r="AB14" s="128" t="str">
        <f t="shared" si="5"/>
        <v>Leve</v>
      </c>
      <c r="AC14" s="129">
        <f>IFERROR(IF(AND(R13="Impacto",R14="Impacto"),(AC13-(+AC13*U14)),IF(R14="Impacto",(N13-(+N13*U14)),IF(R14="Probabilidad",AC13,""))),"")</f>
        <v>0.2</v>
      </c>
      <c r="AD14" s="130" t="str">
        <f t="shared" si="3"/>
        <v>Bajo</v>
      </c>
      <c r="AE14" s="131" t="s">
        <v>32</v>
      </c>
      <c r="AF14" s="132"/>
      <c r="AG14" s="133"/>
      <c r="AH14" s="134"/>
      <c r="AI14" s="134"/>
      <c r="AJ14" s="132"/>
      <c r="AK14" s="133"/>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66.75" customHeight="1" x14ac:dyDescent="0.3">
      <c r="A15" s="236"/>
      <c r="B15" s="303"/>
      <c r="C15" s="226"/>
      <c r="D15" s="226"/>
      <c r="E15" s="226"/>
      <c r="F15" s="224"/>
      <c r="G15" s="226"/>
      <c r="H15" s="228"/>
      <c r="I15" s="230"/>
      <c r="J15" s="232"/>
      <c r="K15" s="234"/>
      <c r="L15" s="232">
        <f>IF(NOT(ISERROR(MATCH(K15,_xlfn.ANCHORARRAY(#REF!),0))),#REF!&amp;"Por favor no seleccionar los criterios de impacto",K15)</f>
        <v>0</v>
      </c>
      <c r="M15" s="230"/>
      <c r="N15" s="232"/>
      <c r="O15" s="215"/>
      <c r="P15" s="122">
        <v>3</v>
      </c>
      <c r="Q15" s="135" t="s">
        <v>298</v>
      </c>
      <c r="R15" s="124" t="str">
        <f t="shared" si="0"/>
        <v>Probabilidad</v>
      </c>
      <c r="S15" s="125" t="s">
        <v>15</v>
      </c>
      <c r="T15" s="125" t="s">
        <v>9</v>
      </c>
      <c r="U15" s="126" t="str">
        <f t="shared" si="1"/>
        <v>30%</v>
      </c>
      <c r="V15" s="125" t="s">
        <v>19</v>
      </c>
      <c r="W15" s="125" t="s">
        <v>23</v>
      </c>
      <c r="X15" s="125" t="s">
        <v>118</v>
      </c>
      <c r="Y15" s="127">
        <f>IFERROR(IF(AND(R14="Probabilidad",R15="Probabilidad"),(AA14-(+AA14*U15)),IF(AND(R14="Impacto",R15="Probabilidad"),(AA13-(+AA13*U15)),IF(R15="Impacto",AA14,""))),"")</f>
        <v>5.04E-2</v>
      </c>
      <c r="Z15" s="128" t="str">
        <f t="shared" si="4"/>
        <v>Muy Baja</v>
      </c>
      <c r="AA15" s="129">
        <f t="shared" si="2"/>
        <v>5.04E-2</v>
      </c>
      <c r="AB15" s="128" t="str">
        <f t="shared" si="5"/>
        <v>Leve</v>
      </c>
      <c r="AC15" s="129">
        <f>IFERROR(IF(AND(R14="Impacto",R15="Impacto"),(AC14-(+AC14*U15)),IF(AND(R14="Probabilidad",R15="Impacto"),(AC13-(+AC13*U15)),IF(R15="Probabilidad",AC14,""))),"")</f>
        <v>0.2</v>
      </c>
      <c r="AD15" s="130" t="str">
        <f t="shared" si="3"/>
        <v>Bajo</v>
      </c>
      <c r="AE15" s="131" t="s">
        <v>31</v>
      </c>
      <c r="AF15" s="132"/>
      <c r="AG15" s="133"/>
      <c r="AH15" s="134"/>
      <c r="AI15" s="134"/>
      <c r="AJ15" s="132"/>
      <c r="AK15" s="133"/>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47.25" customHeight="1" x14ac:dyDescent="0.3">
      <c r="A16" s="236"/>
      <c r="B16" s="303"/>
      <c r="C16" s="226"/>
      <c r="D16" s="226"/>
      <c r="E16" s="226"/>
      <c r="F16" s="224"/>
      <c r="G16" s="226"/>
      <c r="H16" s="228"/>
      <c r="I16" s="230"/>
      <c r="J16" s="232"/>
      <c r="K16" s="234"/>
      <c r="L16" s="232">
        <f>IF(NOT(ISERROR(MATCH(K16,_xlfn.ANCHORARRAY(#REF!),0))),#REF!&amp;"Por favor no seleccionar los criterios de impacto",K16)</f>
        <v>0</v>
      </c>
      <c r="M16" s="230"/>
      <c r="N16" s="232"/>
      <c r="O16" s="215"/>
      <c r="P16" s="122">
        <v>4</v>
      </c>
      <c r="Q16" s="123" t="s">
        <v>299</v>
      </c>
      <c r="R16" s="124" t="str">
        <f t="shared" si="0"/>
        <v>Probabilidad</v>
      </c>
      <c r="S16" s="125" t="s">
        <v>14</v>
      </c>
      <c r="T16" s="125" t="s">
        <v>9</v>
      </c>
      <c r="U16" s="126" t="str">
        <f t="shared" si="1"/>
        <v>40%</v>
      </c>
      <c r="V16" s="125" t="s">
        <v>19</v>
      </c>
      <c r="W16" s="125" t="s">
        <v>22</v>
      </c>
      <c r="X16" s="125" t="s">
        <v>118</v>
      </c>
      <c r="Y16" s="127">
        <f>IFERROR(IF(AND(R15="Probabilidad",R16="Probabilidad"),(AA15-(+AA15*U16)),IF(AND(R15="Impacto",R16="Probabilidad"),(AA14-(+AA14*U16)),IF(R16="Impacto",AA15,""))),"")</f>
        <v>3.024E-2</v>
      </c>
      <c r="Z16" s="128" t="str">
        <f t="shared" si="4"/>
        <v>Muy Baja</v>
      </c>
      <c r="AA16" s="129">
        <f t="shared" si="2"/>
        <v>3.024E-2</v>
      </c>
      <c r="AB16" s="128" t="str">
        <f t="shared" si="5"/>
        <v>Leve</v>
      </c>
      <c r="AC16" s="129">
        <f>IFERROR(IF(AND(R15="Impacto",R16="Impacto"),(AC15-(+AC15*U16)),IF(AND(R15="Probabilidad",R16="Impacto"),(AC14-(+AC14*U16)),IF(R16="Probabilidad",AC15,""))),"")</f>
        <v>0.2</v>
      </c>
      <c r="AD16" s="130" t="str">
        <f t="shared" si="3"/>
        <v>Bajo</v>
      </c>
      <c r="AE16" s="131" t="s">
        <v>135</v>
      </c>
      <c r="AF16" s="132" t="s">
        <v>300</v>
      </c>
      <c r="AG16" s="132" t="s">
        <v>289</v>
      </c>
      <c r="AH16" s="134" t="s">
        <v>292</v>
      </c>
      <c r="AI16" s="134" t="s">
        <v>293</v>
      </c>
      <c r="AJ16" s="132" t="s">
        <v>294</v>
      </c>
      <c r="AK16" s="133"/>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53.25" customHeight="1" x14ac:dyDescent="0.3">
      <c r="A17" s="235">
        <v>3</v>
      </c>
      <c r="B17" s="303"/>
      <c r="C17" s="225" t="s">
        <v>133</v>
      </c>
      <c r="D17" s="225" t="s">
        <v>218</v>
      </c>
      <c r="E17" s="225" t="s">
        <v>219</v>
      </c>
      <c r="F17" s="223" t="s">
        <v>220</v>
      </c>
      <c r="G17" s="225" t="s">
        <v>127</v>
      </c>
      <c r="H17" s="227">
        <v>100</v>
      </c>
      <c r="I17" s="229" t="str">
        <f>IF(H17&lt;=0,"",IF(H17&lt;=2,"Muy Baja",IF(H17&lt;=15,"Baja",IF(H17&lt;=100,"Media",IF(H17&lt;=1000,"Alta","Muy Alta")))))</f>
        <v>Media</v>
      </c>
      <c r="J17" s="231">
        <f>IF(I17="","",IF(I17="Muy Baja",0.2,IF(I17="Baja",0.4,IF(I17="Media",0.6,IF(I17="Alta",0.8,IF(I17="Muy Alta",1,))))))</f>
        <v>0.6</v>
      </c>
      <c r="K17" s="233" t="s">
        <v>145</v>
      </c>
      <c r="L17" s="231" t="str">
        <f>IF(NOT(ISERROR(MATCH(K17,'Tabla Impacto'!$B$221:$B$223,0))),'Tabla Impacto'!$F$223&amp;"Por favor no seleccionar los criterios de impacto(Afectación Económica o presupuestal y Pérdida Reputacional)",K17)</f>
        <v xml:space="preserve">     Afectación menor a 10 SMLMV .</v>
      </c>
      <c r="M17" s="229" t="str">
        <f>IF(OR(L17='Tabla Impacto'!$C$11,L17='Tabla Impacto'!$D$11),"Leve",IF(OR(L17='Tabla Impacto'!$C$12,L17='Tabla Impacto'!$D$12),"Menor",IF(OR(L17='Tabla Impacto'!$C$13,L17='Tabla Impacto'!$D$13),"Moderado",IF(OR(L17='Tabla Impacto'!$C$14,L17='Tabla Impacto'!$D$14),"Mayor",IF(OR(L17='Tabla Impacto'!$C$15,L17='Tabla Impacto'!$D$15),"Catastrófico","")))))</f>
        <v>Leve</v>
      </c>
      <c r="N17" s="231">
        <f>IF(M17="","",IF(M17="Leve",0.2,IF(M17="Menor",0.4,IF(M17="Moderado",0.6,IF(M17="Mayor",0.8,IF(M17="Catastrófico",1,))))))</f>
        <v>0.2</v>
      </c>
      <c r="O17" s="214" t="str">
        <f>IF(OR(AND(I17="Muy Baja",M17="Leve"),AND(I17="Muy Baja",M17="Menor"),AND(I17="Baja",M17="Leve")),"Bajo",IF(OR(AND(I17="Muy baja",M17="Moderado"),AND(I17="Baja",M17="Menor"),AND(I17="Baja",M17="Moderado"),AND(I17="Media",M17="Leve"),AND(I17="Media",M17="Menor"),AND(I17="Media",M17="Moderado"),AND(I17="Alta",M17="Leve"),AND(I17="Alta",M17="Menor")),"Moderado",IF(OR(AND(I17="Muy Baja",M17="Mayor"),AND(I17="Baja",M17="Mayor"),AND(I17="Media",M17="Mayor"),AND(I17="Alta",M17="Moderado"),AND(I17="Alta",M17="Mayor"),AND(I17="Muy Alta",M17="Leve"),AND(I17="Muy Alta",M17="Menor"),AND(I17="Muy Alta",M17="Moderado"),AND(I17="Muy Alta",M17="Mayor")),"Alto",IF(OR(AND(I17="Muy Baja",M17="Catastrófico"),AND(I17="Baja",M17="Catastrófico"),AND(I17="Media",M17="Catastrófico"),AND(I17="Alta",M17="Catastrófico"),AND(I17="Muy Alta",M17="Catastrófico")),"Extremo",""))))</f>
        <v>Moderado</v>
      </c>
      <c r="P17" s="122">
        <v>1</v>
      </c>
      <c r="Q17" s="123" t="s">
        <v>301</v>
      </c>
      <c r="R17" s="124" t="str">
        <f t="shared" si="0"/>
        <v>Probabilidad</v>
      </c>
      <c r="S17" s="125" t="s">
        <v>14</v>
      </c>
      <c r="T17" s="125" t="s">
        <v>9</v>
      </c>
      <c r="U17" s="126" t="str">
        <f t="shared" si="1"/>
        <v>40%</v>
      </c>
      <c r="V17" s="125" t="s">
        <v>19</v>
      </c>
      <c r="W17" s="125" t="s">
        <v>22</v>
      </c>
      <c r="X17" s="125" t="s">
        <v>118</v>
      </c>
      <c r="Y17" s="127">
        <f>IFERROR(IF(R17="Probabilidad",(J17-(+J17*U17)),IF(R17="Impacto",J17,"")),"")</f>
        <v>0.36</v>
      </c>
      <c r="Z17" s="128" t="str">
        <f>IFERROR(IF(Y17="","",IF(Y17&lt;=0.2,"Muy Baja",IF(Y17&lt;=0.4,"Baja",IF(Y17&lt;=0.6,"Media",IF(Y17&lt;=0.8,"Alta","Muy Alta"))))),"")</f>
        <v>Baja</v>
      </c>
      <c r="AA17" s="129">
        <f t="shared" si="2"/>
        <v>0.36</v>
      </c>
      <c r="AB17" s="128" t="str">
        <f>IFERROR(IF(AC17="","",IF(AC17&lt;=0.2,"Leve",IF(AC17&lt;=0.4,"Menor",IF(AC17&lt;=0.6,"Moderado",IF(AC17&lt;=0.8,"Mayor","Catastrófico"))))),"")</f>
        <v>Leve</v>
      </c>
      <c r="AC17" s="129">
        <f>IFERROR(IF(R17="Impacto",(N17-(+N17*U17)),IF(R17="Probabilidad",N17,"")),"")</f>
        <v>0.2</v>
      </c>
      <c r="AD17" s="130" t="str">
        <f t="shared" si="3"/>
        <v>Bajo</v>
      </c>
      <c r="AE17" s="131" t="s">
        <v>31</v>
      </c>
      <c r="AF17" s="132"/>
      <c r="AG17" s="133"/>
      <c r="AH17" s="134"/>
      <c r="AI17" s="134"/>
      <c r="AJ17" s="132"/>
      <c r="AK17" s="133"/>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38.25" customHeight="1" x14ac:dyDescent="0.3">
      <c r="A18" s="236"/>
      <c r="B18" s="303"/>
      <c r="C18" s="226"/>
      <c r="D18" s="226"/>
      <c r="E18" s="226"/>
      <c r="F18" s="224"/>
      <c r="G18" s="226"/>
      <c r="H18" s="228"/>
      <c r="I18" s="230"/>
      <c r="J18" s="232"/>
      <c r="K18" s="234"/>
      <c r="L18" s="232">
        <f>IF(NOT(ISERROR(MATCH(K18,_xlfn.ANCHORARRAY(F21),0))),J23&amp;"Por favor no seleccionar los criterios de impacto",K18)</f>
        <v>0</v>
      </c>
      <c r="M18" s="230"/>
      <c r="N18" s="232"/>
      <c r="O18" s="215"/>
      <c r="P18" s="122">
        <v>2</v>
      </c>
      <c r="Q18" s="123" t="s">
        <v>302</v>
      </c>
      <c r="R18" s="124" t="str">
        <f t="shared" si="0"/>
        <v>Probabilidad</v>
      </c>
      <c r="S18" s="125" t="s">
        <v>14</v>
      </c>
      <c r="T18" s="125" t="s">
        <v>9</v>
      </c>
      <c r="U18" s="126" t="str">
        <f t="shared" si="1"/>
        <v>40%</v>
      </c>
      <c r="V18" s="125" t="s">
        <v>19</v>
      </c>
      <c r="W18" s="125" t="s">
        <v>22</v>
      </c>
      <c r="X18" s="125" t="s">
        <v>118</v>
      </c>
      <c r="Y18" s="136">
        <f>IFERROR(IF(AND(R17="Probabilidad",R18="Probabilidad"),(AA17-(+AA17*U18)),IF(R18="Probabilidad",(J17-(+J17*U18)),IF(R18="Impacto",AA17,""))),"")</f>
        <v>0.216</v>
      </c>
      <c r="Z18" s="128" t="str">
        <f t="shared" si="4"/>
        <v>Baja</v>
      </c>
      <c r="AA18" s="129">
        <f t="shared" si="2"/>
        <v>0.216</v>
      </c>
      <c r="AB18" s="128" t="str">
        <f t="shared" si="5"/>
        <v>Leve</v>
      </c>
      <c r="AC18" s="129">
        <f>IFERROR(IF(AND(R17="Impacto",R18="Impacto"),(AC17-(+AC17*U18)),IF(R18="Impacto",(N17-(+N17*U18)),IF(R18="Probabilidad",AC17,""))),"")</f>
        <v>0.2</v>
      </c>
      <c r="AD18" s="130" t="str">
        <f t="shared" si="3"/>
        <v>Bajo</v>
      </c>
      <c r="AE18" s="131" t="s">
        <v>31</v>
      </c>
      <c r="AF18" s="132"/>
      <c r="AG18" s="133"/>
      <c r="AH18" s="134"/>
      <c r="AI18" s="134"/>
      <c r="AJ18" s="132"/>
      <c r="AK18" s="133"/>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68.25" customHeight="1" x14ac:dyDescent="0.3">
      <c r="A19" s="236"/>
      <c r="B19" s="303"/>
      <c r="C19" s="226"/>
      <c r="D19" s="226"/>
      <c r="E19" s="226"/>
      <c r="F19" s="224"/>
      <c r="G19" s="226"/>
      <c r="H19" s="228"/>
      <c r="I19" s="230"/>
      <c r="J19" s="232"/>
      <c r="K19" s="234"/>
      <c r="L19" s="232">
        <f>IF(NOT(ISERROR(MATCH(K19,_xlfn.ANCHORARRAY(F22),0))),J24&amp;"Por favor no seleccionar los criterios de impacto",K19)</f>
        <v>0</v>
      </c>
      <c r="M19" s="230"/>
      <c r="N19" s="232"/>
      <c r="O19" s="215"/>
      <c r="P19" s="122">
        <v>3</v>
      </c>
      <c r="Q19" s="135" t="s">
        <v>303</v>
      </c>
      <c r="R19" s="124" t="str">
        <f t="shared" si="0"/>
        <v>Probabilidad</v>
      </c>
      <c r="S19" s="125" t="s">
        <v>15</v>
      </c>
      <c r="T19" s="125" t="s">
        <v>9</v>
      </c>
      <c r="U19" s="126" t="str">
        <f t="shared" si="1"/>
        <v>30%</v>
      </c>
      <c r="V19" s="125" t="s">
        <v>19</v>
      </c>
      <c r="W19" s="125" t="s">
        <v>23</v>
      </c>
      <c r="X19" s="125" t="s">
        <v>118</v>
      </c>
      <c r="Y19" s="127">
        <f>IFERROR(IF(AND(R18="Probabilidad",R19="Probabilidad"),(AA18-(+AA18*U19)),IF(AND(R18="Impacto",R19="Probabilidad"),(AA17-(+AA17*U19)),IF(R19="Impacto",AA18,""))),"")</f>
        <v>0.1512</v>
      </c>
      <c r="Z19" s="128" t="str">
        <f t="shared" si="4"/>
        <v>Muy Baja</v>
      </c>
      <c r="AA19" s="129">
        <f t="shared" si="2"/>
        <v>0.1512</v>
      </c>
      <c r="AB19" s="128" t="str">
        <f t="shared" si="5"/>
        <v>Leve</v>
      </c>
      <c r="AC19" s="129">
        <f>IFERROR(IF(AND(R18="Impacto",R19="Impacto"),(AC18-(+AC18*U19)),IF(AND(R18="Probabilidad",R19="Impacto"),(AC17-(+AC17*U19)),IF(R19="Probabilidad",AC18,""))),"")</f>
        <v>0.2</v>
      </c>
      <c r="AD19" s="130" t="str">
        <f t="shared" si="3"/>
        <v>Bajo</v>
      </c>
      <c r="AE19" s="131" t="s">
        <v>32</v>
      </c>
      <c r="AF19" s="132"/>
      <c r="AG19" s="133"/>
      <c r="AH19" s="134"/>
      <c r="AI19" s="134"/>
      <c r="AJ19" s="132"/>
      <c r="AK19" s="133"/>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13.25" customHeight="1" x14ac:dyDescent="0.3">
      <c r="A20" s="162">
        <v>4</v>
      </c>
      <c r="B20" s="303"/>
      <c r="C20" s="163" t="s">
        <v>133</v>
      </c>
      <c r="D20" s="163" t="s">
        <v>221</v>
      </c>
      <c r="E20" s="163" t="s">
        <v>222</v>
      </c>
      <c r="F20" s="164" t="s">
        <v>230</v>
      </c>
      <c r="G20" s="163" t="s">
        <v>125</v>
      </c>
      <c r="H20" s="165">
        <v>10</v>
      </c>
      <c r="I20" s="166" t="str">
        <f>IF(H20&lt;=0,"",IF(H20&lt;=2,"Muy Baja",IF(H20&lt;=15,"Baja",IF(H20&lt;=100,"Media",IF(H20&lt;=1000,"Alta","Muy Alta")))))</f>
        <v>Baja</v>
      </c>
      <c r="J20" s="167">
        <f>IF(I20="","",IF(I20="Muy Baja",0.2,IF(I20="Baja",0.4,IF(I20="Media",0.6,IF(I20="Alta",0.8,IF(I20="Muy Alta",1,))))))</f>
        <v>0.4</v>
      </c>
      <c r="K20" s="168" t="s">
        <v>145</v>
      </c>
      <c r="L20" s="167" t="str">
        <f>IF(NOT(ISERROR(MATCH(K20,'Tabla Impacto'!$B$221:$B$223,0))),'Tabla Impacto'!$F$223&amp;"Por favor no seleccionar los criterios de impacto(Afectación Económica o presupuestal y Pérdida Reputacional)",K20)</f>
        <v xml:space="preserve">     Afectación menor a 10 SMLMV .</v>
      </c>
      <c r="M20" s="166" t="str">
        <f>IF(OR(L20='Tabla Impacto'!$C$11,L20='Tabla Impacto'!$D$11),"Leve",IF(OR(L20='Tabla Impacto'!$C$12,L20='Tabla Impacto'!$D$12),"Menor",IF(OR(L20='Tabla Impacto'!$C$13,L20='Tabla Impacto'!$D$13),"Moderado",IF(OR(L20='Tabla Impacto'!$C$14,L20='Tabla Impacto'!$D$14),"Mayor",IF(OR(L20='Tabla Impacto'!$C$15,L20='Tabla Impacto'!$D$15),"Catastrófico","")))))</f>
        <v>Leve</v>
      </c>
      <c r="N20" s="167">
        <f>IF(M20="","",IF(M20="Leve",0.2,IF(M20="Menor",0.4,IF(M20="Moderado",0.6,IF(M20="Mayor",0.8,IF(M20="Catastrófico",1,))))))</f>
        <v>0.2</v>
      </c>
      <c r="O20" s="161" t="str">
        <f>IF(OR(AND(I20="Muy Baja",M20="Leve"),AND(I20="Muy Baja",M20="Menor"),AND(I20="Baja",M20="Leve")),"Bajo",IF(OR(AND(I20="Muy baja",M20="Moderado"),AND(I20="Baja",M20="Menor"),AND(I20="Baja",M20="Moderado"),AND(I20="Media",M20="Leve"),AND(I20="Media",M20="Menor"),AND(I20="Media",M20="Moderado"),AND(I20="Alta",M20="Leve"),AND(I20="Alta",M20="Menor")),"Moderado",IF(OR(AND(I20="Muy Baja",M20="Mayor"),AND(I20="Baja",M20="Mayor"),AND(I20="Media",M20="Mayor"),AND(I20="Alta",M20="Moderado"),AND(I20="Alta",M20="Mayor"),AND(I20="Muy Alta",M20="Leve"),AND(I20="Muy Alta",M20="Menor"),AND(I20="Muy Alta",M20="Moderado"),AND(I20="Muy Alta",M20="Mayor")),"Alto",IF(OR(AND(I20="Muy Baja",M20="Catastrófico"),AND(I20="Baja",M20="Catastrófico"),AND(I20="Media",M20="Catastrófico"),AND(I20="Alta",M20="Catastrófico"),AND(I20="Muy Alta",M20="Catastrófico")),"Extremo",""))))</f>
        <v>Bajo</v>
      </c>
      <c r="P20" s="122">
        <v>1</v>
      </c>
      <c r="Q20" s="123" t="s">
        <v>304</v>
      </c>
      <c r="R20" s="124" t="str">
        <f t="shared" si="0"/>
        <v>Probabilidad</v>
      </c>
      <c r="S20" s="125" t="s">
        <v>14</v>
      </c>
      <c r="T20" s="125" t="s">
        <v>9</v>
      </c>
      <c r="U20" s="126" t="str">
        <f t="shared" si="1"/>
        <v>40%</v>
      </c>
      <c r="V20" s="125" t="s">
        <v>19</v>
      </c>
      <c r="W20" s="125" t="s">
        <v>22</v>
      </c>
      <c r="X20" s="125" t="s">
        <v>118</v>
      </c>
      <c r="Y20" s="127">
        <f>IFERROR(IF(R20="Probabilidad",(J20-(+J20*U20)),IF(R20="Impacto",J20,"")),"")</f>
        <v>0.24</v>
      </c>
      <c r="Z20" s="128" t="str">
        <f>IFERROR(IF(Y20="","",IF(Y20&lt;=0.2,"Muy Baja",IF(Y20&lt;=0.4,"Baja",IF(Y20&lt;=0.6,"Media",IF(Y20&lt;=0.8,"Alta","Muy Alta"))))),"")</f>
        <v>Baja</v>
      </c>
      <c r="AA20" s="129">
        <f t="shared" si="2"/>
        <v>0.24</v>
      </c>
      <c r="AB20" s="128" t="str">
        <f>IFERROR(IF(AC20="","",IF(AC20&lt;=0.2,"Leve",IF(AC20&lt;=0.4,"Menor",IF(AC20&lt;=0.6,"Moderado",IF(AC20&lt;=0.8,"Mayor","Catastrófico"))))),"")</f>
        <v>Leve</v>
      </c>
      <c r="AC20" s="129">
        <f>IFERROR(IF(R20="Impacto",(N20-(+N20*U20)),IF(R20="Probabilidad",N20,"")),"")</f>
        <v>0.2</v>
      </c>
      <c r="AD20" s="130" t="str">
        <f t="shared" si="3"/>
        <v>Bajo</v>
      </c>
      <c r="AE20" s="131" t="s">
        <v>31</v>
      </c>
      <c r="AF20" s="132"/>
      <c r="AG20" s="133"/>
      <c r="AH20" s="134"/>
      <c r="AI20" s="134"/>
      <c r="AJ20" s="132"/>
      <c r="AK20" s="133"/>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8" customHeight="1" x14ac:dyDescent="0.3">
      <c r="A21" s="235">
        <v>5</v>
      </c>
      <c r="B21" s="279" t="s">
        <v>251</v>
      </c>
      <c r="C21" s="225" t="s">
        <v>132</v>
      </c>
      <c r="D21" s="225" t="s">
        <v>478</v>
      </c>
      <c r="E21" s="225" t="s">
        <v>477</v>
      </c>
      <c r="F21" s="223" t="s">
        <v>479</v>
      </c>
      <c r="G21" s="225" t="s">
        <v>122</v>
      </c>
      <c r="H21" s="227">
        <v>312</v>
      </c>
      <c r="I21" s="229" t="str">
        <f>IF(H21&lt;=0,"",IF(H21&lt;=2,"Muy Baja",IF(H21&lt;=15,"Baja",IF(H21&lt;=100,"Media",IF(H21&lt;=1000,"Alta","Muy Alta")))))</f>
        <v>Alta</v>
      </c>
      <c r="J21" s="231">
        <f>IF(I21="","",IF(I21="Muy Baja",0.2,IF(I21="Baja",0.4,IF(I21="Media",0.6,IF(I21="Alta",0.8,IF(I21="Muy Alta",1,))))))</f>
        <v>0.8</v>
      </c>
      <c r="K21" s="233" t="s">
        <v>151</v>
      </c>
      <c r="L21" s="231" t="str">
        <f>IF(NOT(ISERROR(MATCH(K21,'Tabla Impacto'!$B$221:$B$223,0))),'Tabla Impacto'!$F$223&amp;"Por favor no seleccionar los criterios de impacto(Afectación Económica o presupuestal y Pérdida Reputacional)",K21)</f>
        <v xml:space="preserve">     Mayor a 500 SMLMV </v>
      </c>
      <c r="M21" s="229" t="str">
        <f>IF(OR(L21='Tabla Impacto'!$C$11,L21='Tabla Impacto'!$D$11),"Leve",IF(OR(L21='Tabla Impacto'!$C$12,L21='Tabla Impacto'!$D$12),"Menor",IF(OR(L21='Tabla Impacto'!$C$13,L21='Tabla Impacto'!$D$13),"Moderado",IF(OR(L21='Tabla Impacto'!$C$14,L21='Tabla Impacto'!$D$14),"Mayor",IF(OR(L21='Tabla Impacto'!$C$15,L21='Tabla Impacto'!$D$15),"Catastrófico","")))))</f>
        <v>Catastrófico</v>
      </c>
      <c r="N21" s="231">
        <f>IF(M21="","",IF(M21="Leve",0.2,IF(M21="Menor",0.4,IF(M21="Moderado",0.6,IF(M21="Mayor",0.8,IF(M21="Catastrófico",1,))))))</f>
        <v>1</v>
      </c>
      <c r="O21" s="214" t="str">
        <f>IF(OR(AND(I21="Muy Baja",M21="Leve"),AND(I21="Muy Baja",M21="Menor"),AND(I21="Baja",M21="Leve")),"Bajo",IF(OR(AND(I21="Muy baja",M21="Moderado"),AND(I21="Baja",M21="Menor"),AND(I21="Baja",M21="Moderado"),AND(I21="Media",M21="Leve"),AND(I21="Media",M21="Menor"),AND(I21="Media",M21="Moderado"),AND(I21="Alta",M21="Leve"),AND(I21="Alta",M21="Menor")),"Moderado",IF(OR(AND(I21="Muy Baja",M21="Mayor"),AND(I21="Baja",M21="Mayor"),AND(I21="Media",M21="Mayor"),AND(I21="Alta",M21="Moderado"),AND(I21="Alta",M21="Mayor"),AND(I21="Muy Alta",M21="Leve"),AND(I21="Muy Alta",M21="Menor"),AND(I21="Muy Alta",M21="Moderado"),AND(I21="Muy Alta",M21="Mayor")),"Alto",IF(OR(AND(I21="Muy Baja",M21="Catastrófico"),AND(I21="Baja",M21="Catastrófico"),AND(I21="Media",M21="Catastrófico"),AND(I21="Alta",M21="Catastrófico"),AND(I21="Muy Alta",M21="Catastrófico")),"Extremo",""))))</f>
        <v>Extremo</v>
      </c>
      <c r="P21" s="122">
        <v>1</v>
      </c>
      <c r="Q21" s="123" t="s">
        <v>480</v>
      </c>
      <c r="R21" s="124" t="str">
        <f t="shared" si="0"/>
        <v>Probabilidad</v>
      </c>
      <c r="S21" s="125" t="s">
        <v>15</v>
      </c>
      <c r="T21" s="125" t="s">
        <v>9</v>
      </c>
      <c r="U21" s="126" t="str">
        <f t="shared" si="1"/>
        <v>30%</v>
      </c>
      <c r="V21" s="125" t="s">
        <v>19</v>
      </c>
      <c r="W21" s="125" t="s">
        <v>22</v>
      </c>
      <c r="X21" s="125" t="s">
        <v>118</v>
      </c>
      <c r="Y21" s="127">
        <f>IFERROR(IF(R21="Probabilidad",(J21-(+J21*U21)),IF(R21="Impacto",J21,"")),"")</f>
        <v>0.56000000000000005</v>
      </c>
      <c r="Z21" s="128" t="str">
        <f>IFERROR(IF(Y21="","",IF(Y21&lt;=0.2,"Muy Baja",IF(Y21&lt;=0.4,"Baja",IF(Y21&lt;=0.6,"Media",IF(Y21&lt;=0.8,"Alta","Muy Alta"))))),"")</f>
        <v>Media</v>
      </c>
      <c r="AA21" s="129">
        <f t="shared" si="2"/>
        <v>0.56000000000000005</v>
      </c>
      <c r="AB21" s="128" t="str">
        <f>IFERROR(IF(AC21="","",IF(AC21&lt;=0.2,"Leve",IF(AC21&lt;=0.4,"Menor",IF(AC21&lt;=0.6,"Moderado",IF(AC21&lt;=0.8,"Mayor","Catastrófico"))))),"")</f>
        <v>Catastrófico</v>
      </c>
      <c r="AC21" s="129">
        <f>IFERROR(IF(R21="Impacto",(N21-(+N21*U21)),IF(R21="Probabilidad",N21,"")),"")</f>
        <v>1</v>
      </c>
      <c r="AD21" s="130" t="str">
        <f t="shared" si="3"/>
        <v>Extremo</v>
      </c>
      <c r="AE21" s="131" t="s">
        <v>136</v>
      </c>
      <c r="AF21" s="132"/>
      <c r="AG21" s="133"/>
      <c r="AH21" s="134"/>
      <c r="AI21" s="134"/>
      <c r="AJ21" s="132"/>
      <c r="AK21" s="133"/>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3.5" customHeight="1" x14ac:dyDescent="0.3">
      <c r="A22" s="236"/>
      <c r="B22" s="280"/>
      <c r="C22" s="226"/>
      <c r="D22" s="226"/>
      <c r="E22" s="226"/>
      <c r="F22" s="224"/>
      <c r="G22" s="226"/>
      <c r="H22" s="228"/>
      <c r="I22" s="230"/>
      <c r="J22" s="232"/>
      <c r="K22" s="234"/>
      <c r="L22" s="232">
        <f>IF(NOT(ISERROR(MATCH(K22,_xlfn.ANCHORARRAY(F36),0))),#REF!&amp;"Por favor no seleccionar los criterios de impacto",K22)</f>
        <v>0</v>
      </c>
      <c r="M22" s="230"/>
      <c r="N22" s="232"/>
      <c r="O22" s="215"/>
      <c r="P22" s="122">
        <v>2</v>
      </c>
      <c r="Q22" s="123" t="s">
        <v>481</v>
      </c>
      <c r="R22" s="124" t="str">
        <f t="shared" si="0"/>
        <v>Probabilidad</v>
      </c>
      <c r="S22" s="125" t="s">
        <v>15</v>
      </c>
      <c r="T22" s="125" t="s">
        <v>9</v>
      </c>
      <c r="U22" s="126" t="str">
        <f t="shared" si="1"/>
        <v>30%</v>
      </c>
      <c r="V22" s="125" t="s">
        <v>19</v>
      </c>
      <c r="W22" s="125" t="s">
        <v>22</v>
      </c>
      <c r="X22" s="125" t="s">
        <v>118</v>
      </c>
      <c r="Y22" s="127">
        <f>IFERROR(IF(AND(R21="Probabilidad",R22="Probabilidad"),(AA21-(+AA21*U22)),IF(R22="Probabilidad",(J21-(+J21*U22)),IF(R22="Impacto",AA21,""))),"")</f>
        <v>0.39200000000000002</v>
      </c>
      <c r="Z22" s="128" t="str">
        <f t="shared" si="4"/>
        <v>Baja</v>
      </c>
      <c r="AA22" s="129">
        <f t="shared" si="2"/>
        <v>0.39200000000000002</v>
      </c>
      <c r="AB22" s="128" t="str">
        <f t="shared" si="5"/>
        <v>Catastrófico</v>
      </c>
      <c r="AC22" s="129">
        <f>IFERROR(IF(AND(R21="Impacto",R22="Impacto"),(AC21-(+AC21*U22)),IF(R22="Impacto",(N21-(+N21*U22)),IF(R22="Probabilidad",AC21,""))),"")</f>
        <v>1</v>
      </c>
      <c r="AD22" s="130" t="str">
        <f t="shared" si="3"/>
        <v>Extremo</v>
      </c>
      <c r="AE22" s="131" t="s">
        <v>136</v>
      </c>
      <c r="AF22" s="132"/>
      <c r="AG22" s="133"/>
      <c r="AH22" s="134"/>
      <c r="AI22" s="134"/>
      <c r="AJ22" s="132"/>
      <c r="AK22" s="133"/>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21.75" customHeight="1" x14ac:dyDescent="0.3">
      <c r="A23" s="236"/>
      <c r="B23" s="280"/>
      <c r="C23" s="226"/>
      <c r="D23" s="226"/>
      <c r="E23" s="226"/>
      <c r="F23" s="224"/>
      <c r="G23" s="226"/>
      <c r="H23" s="228"/>
      <c r="I23" s="230"/>
      <c r="J23" s="232"/>
      <c r="K23" s="234"/>
      <c r="L23" s="232">
        <f>IF(NOT(ISERROR(MATCH(K23,_xlfn.ANCHORARRAY(#REF!),0))),#REF!&amp;"Por favor no seleccionar los criterios de impacto",K23)</f>
        <v>0</v>
      </c>
      <c r="M23" s="230"/>
      <c r="N23" s="232"/>
      <c r="O23" s="215"/>
      <c r="P23" s="122">
        <v>3</v>
      </c>
      <c r="Q23" s="135" t="s">
        <v>482</v>
      </c>
      <c r="R23" s="124" t="str">
        <f t="shared" si="0"/>
        <v>Probabilidad</v>
      </c>
      <c r="S23" s="125" t="s">
        <v>14</v>
      </c>
      <c r="T23" s="125" t="s">
        <v>9</v>
      </c>
      <c r="U23" s="126" t="str">
        <f t="shared" si="1"/>
        <v>40%</v>
      </c>
      <c r="V23" s="125" t="s">
        <v>19</v>
      </c>
      <c r="W23" s="125" t="s">
        <v>22</v>
      </c>
      <c r="X23" s="125" t="s">
        <v>118</v>
      </c>
      <c r="Y23" s="127">
        <f>IFERROR(IF(AND(R22="Probabilidad",R23="Probabilidad"),(AA22-(+AA22*U23)),IF(AND(R22="Impacto",R23="Probabilidad"),(AA21-(+AA21*U23)),IF(R23="Impacto",AA22,""))),"")</f>
        <v>0.23519999999999999</v>
      </c>
      <c r="Z23" s="128" t="str">
        <f t="shared" si="4"/>
        <v>Baja</v>
      </c>
      <c r="AA23" s="129">
        <f t="shared" si="2"/>
        <v>0.23519999999999999</v>
      </c>
      <c r="AB23" s="128" t="str">
        <f t="shared" si="5"/>
        <v>Catastrófico</v>
      </c>
      <c r="AC23" s="129">
        <f>IFERROR(IF(AND(R22="Impacto",R23="Impacto"),(AC22-(+AC22*U23)),IF(AND(R22="Probabilidad",R23="Impacto"),(AC21-(+AC21*U23)),IF(R23="Probabilidad",AC22,""))),"")</f>
        <v>1</v>
      </c>
      <c r="AD23" s="130" t="str">
        <f t="shared" si="3"/>
        <v>Extremo</v>
      </c>
      <c r="AE23" s="131" t="s">
        <v>135</v>
      </c>
      <c r="AF23" s="132"/>
      <c r="AG23" s="133"/>
      <c r="AH23" s="134"/>
      <c r="AI23" s="134"/>
      <c r="AJ23" s="132"/>
      <c r="AK23" s="133"/>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28.5" customHeight="1" x14ac:dyDescent="0.3">
      <c r="A24" s="236"/>
      <c r="B24" s="280"/>
      <c r="C24" s="226"/>
      <c r="D24" s="226"/>
      <c r="E24" s="226"/>
      <c r="F24" s="224"/>
      <c r="G24" s="226"/>
      <c r="H24" s="228"/>
      <c r="I24" s="230"/>
      <c r="J24" s="232"/>
      <c r="K24" s="234"/>
      <c r="L24" s="232">
        <f>IF(NOT(ISERROR(MATCH(K24,_xlfn.ANCHORARRAY(#REF!),0))),#REF!&amp;"Por favor no seleccionar los criterios de impacto",K24)</f>
        <v>0</v>
      </c>
      <c r="M24" s="230"/>
      <c r="N24" s="232"/>
      <c r="O24" s="215"/>
      <c r="P24" s="122">
        <v>4</v>
      </c>
      <c r="Q24" s="123" t="s">
        <v>483</v>
      </c>
      <c r="R24" s="124" t="str">
        <f t="shared" si="0"/>
        <v>Impacto</v>
      </c>
      <c r="S24" s="125" t="s">
        <v>16</v>
      </c>
      <c r="T24" s="125" t="s">
        <v>9</v>
      </c>
      <c r="U24" s="126" t="str">
        <f t="shared" si="1"/>
        <v>25%</v>
      </c>
      <c r="V24" s="125" t="s">
        <v>19</v>
      </c>
      <c r="W24" s="125" t="s">
        <v>22</v>
      </c>
      <c r="X24" s="125" t="s">
        <v>118</v>
      </c>
      <c r="Y24" s="127">
        <f>IFERROR(IF(AND(R23="Probabilidad",R24="Probabilidad"),(AA23-(+AA23*U24)),IF(AND(R23="Impacto",R24="Probabilidad"),(AA22-(+AA22*U24)),IF(R24="Impacto",AA23,""))),"")</f>
        <v>0.23519999999999999</v>
      </c>
      <c r="Z24" s="128" t="str">
        <f t="shared" si="4"/>
        <v>Baja</v>
      </c>
      <c r="AA24" s="129">
        <f t="shared" si="2"/>
        <v>0.23519999999999999</v>
      </c>
      <c r="AB24" s="128" t="str">
        <f t="shared" si="5"/>
        <v>Mayor</v>
      </c>
      <c r="AC24" s="129">
        <f>IFERROR(IF(AND(R23="Impacto",R24="Impacto"),(AC23-(+AC23*U24)),IF(AND(R23="Probabilidad",R24="Impacto"),(AC22-(+AC22*U24)),IF(R24="Probabilidad",AC23,""))),"")</f>
        <v>0.75</v>
      </c>
      <c r="AD24" s="130" t="str">
        <f t="shared" si="3"/>
        <v>Alto</v>
      </c>
      <c r="AE24" s="131" t="s">
        <v>32</v>
      </c>
      <c r="AF24" s="132"/>
      <c r="AG24" s="133"/>
      <c r="AH24" s="134"/>
      <c r="AI24" s="134"/>
      <c r="AJ24" s="132"/>
      <c r="AK24" s="133"/>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25.5" customHeight="1" x14ac:dyDescent="0.3">
      <c r="A25" s="236"/>
      <c r="B25" s="280"/>
      <c r="C25" s="226"/>
      <c r="D25" s="226"/>
      <c r="E25" s="226"/>
      <c r="F25" s="224"/>
      <c r="G25" s="226"/>
      <c r="H25" s="228"/>
      <c r="I25" s="230"/>
      <c r="J25" s="232"/>
      <c r="K25" s="234"/>
      <c r="L25" s="232">
        <f>IF(NOT(ISERROR(MATCH(K25,_xlfn.ANCHORARRAY(#REF!),0))),#REF!&amp;"Por favor no seleccionar los criterios de impacto",K25)</f>
        <v>0</v>
      </c>
      <c r="M25" s="230"/>
      <c r="N25" s="232"/>
      <c r="O25" s="215"/>
      <c r="P25" s="122">
        <v>5</v>
      </c>
      <c r="Q25" s="123"/>
      <c r="R25" s="124" t="str">
        <f t="shared" si="0"/>
        <v/>
      </c>
      <c r="S25" s="125"/>
      <c r="T25" s="125"/>
      <c r="U25" s="126" t="str">
        <f t="shared" si="1"/>
        <v/>
      </c>
      <c r="V25" s="125"/>
      <c r="W25" s="125"/>
      <c r="X25" s="125"/>
      <c r="Y25" s="127" t="str">
        <f>IFERROR(IF(AND(R24="Probabilidad",R25="Probabilidad"),(AA24-(+AA24*U25)),IF(AND(R24="Impacto",R25="Probabilidad"),(AA23-(+AA23*U25)),IF(R25="Impacto",AA24,""))),"")</f>
        <v/>
      </c>
      <c r="Z25" s="128" t="str">
        <f t="shared" si="4"/>
        <v/>
      </c>
      <c r="AA25" s="129" t="str">
        <f t="shared" si="2"/>
        <v/>
      </c>
      <c r="AB25" s="128" t="str">
        <f t="shared" si="5"/>
        <v/>
      </c>
      <c r="AC25" s="129" t="str">
        <f>IFERROR(IF(AND(R24="Impacto",R25="Impacto"),(AC24-(+AC24*U25)),IF(AND(R24="Probabilidad",R25="Impacto"),(AC23-(+AC23*U25)),IF(R25="Probabilidad",AC24,""))),"")</f>
        <v/>
      </c>
      <c r="AD25" s="130" t="str">
        <f t="shared" si="3"/>
        <v/>
      </c>
      <c r="AE25" s="131"/>
      <c r="AF25" s="132"/>
      <c r="AG25" s="133"/>
      <c r="AH25" s="134"/>
      <c r="AI25" s="134"/>
      <c r="AJ25" s="132"/>
      <c r="AK25" s="133"/>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39" customHeight="1" x14ac:dyDescent="0.3">
      <c r="A26" s="235">
        <v>6</v>
      </c>
      <c r="B26" s="280"/>
      <c r="C26" s="225" t="s">
        <v>133</v>
      </c>
      <c r="D26" s="225" t="s">
        <v>484</v>
      </c>
      <c r="E26" s="225" t="s">
        <v>485</v>
      </c>
      <c r="F26" s="223" t="s">
        <v>486</v>
      </c>
      <c r="G26" s="225" t="s">
        <v>127</v>
      </c>
      <c r="H26" s="227">
        <v>365</v>
      </c>
      <c r="I26" s="229" t="str">
        <f>IF(H26&lt;=0,"",IF(H26&lt;=2,"Muy Baja",IF(H26&lt;=15,"Baja",IF(H26&lt;=100,"Media",IF(H26&lt;=1000,"Alta","Muy Alta")))))</f>
        <v>Alta</v>
      </c>
      <c r="J26" s="231">
        <f>IF(I26="","",IF(I26="Muy Baja",0.2,IF(I26="Baja",0.4,IF(I26="Media",0.6,IF(I26="Alta",0.8,IF(I26="Muy Alta",1,))))))</f>
        <v>0.8</v>
      </c>
      <c r="K26" s="233" t="s">
        <v>150</v>
      </c>
      <c r="L26" s="231" t="str">
        <f>IF(NOT(ISERROR(MATCH(K26,'Tabla Impacto'!$B$221:$B$223,0))),'Tabla Impacto'!$F$223&amp;"Por favor no seleccionar los criterios de impacto(Afectación Económica o presupuestal y Pérdida Reputacional)",K26)</f>
        <v xml:space="preserve">     Entre 100 y 500 SMLMV </v>
      </c>
      <c r="M26" s="229" t="str">
        <f>IF(OR(L26='Tabla Impacto'!$C$11,L26='Tabla Impacto'!$D$11),"Leve",IF(OR(L26='Tabla Impacto'!$C$12,L26='Tabla Impacto'!$D$12),"Menor",IF(OR(L26='Tabla Impacto'!$C$13,L26='Tabla Impacto'!$D$13),"Moderado",IF(OR(L26='Tabla Impacto'!$C$14,L26='Tabla Impacto'!$D$14),"Mayor",IF(OR(L26='Tabla Impacto'!$C$15,L26='Tabla Impacto'!$D$15),"Catastrófico","")))))</f>
        <v>Mayor</v>
      </c>
      <c r="N26" s="231">
        <f>IF(M26="","",IF(M26="Leve",0.2,IF(M26="Menor",0.4,IF(M26="Moderado",0.6,IF(M26="Mayor",0.8,IF(M26="Catastrófico",1,))))))</f>
        <v>0.8</v>
      </c>
      <c r="O26" s="214" t="str">
        <f>IF(OR(AND(I26="Muy Baja",M26="Leve"),AND(I26="Muy Baja",M26="Menor"),AND(I26="Baja",M26="Leve")),"Bajo",IF(OR(AND(I26="Muy baja",M26="Moderado"),AND(I26="Baja",M26="Menor"),AND(I26="Baja",M26="Moderado"),AND(I26="Media",M26="Leve"),AND(I26="Media",M26="Menor"),AND(I26="Media",M26="Moderado"),AND(I26="Alta",M26="Leve"),AND(I26="Alta",M26="Menor")),"Moderado",IF(OR(AND(I26="Muy Baja",M26="Mayor"),AND(I26="Baja",M26="Mayor"),AND(I26="Media",M26="Mayor"),AND(I26="Alta",M26="Moderado"),AND(I26="Alta",M26="Mayor"),AND(I26="Muy Alta",M26="Leve"),AND(I26="Muy Alta",M26="Menor"),AND(I26="Muy Alta",M26="Moderado"),AND(I26="Muy Alta",M26="Mayor")),"Alto",IF(OR(AND(I26="Muy Baja",M26="Catastrófico"),AND(I26="Baja",M26="Catastrófico"),AND(I26="Media",M26="Catastrófico"),AND(I26="Alta",M26="Catastrófico"),AND(I26="Muy Alta",M26="Catastrófico")),"Extremo",""))))</f>
        <v>Alto</v>
      </c>
      <c r="P26" s="122">
        <v>1</v>
      </c>
      <c r="Q26" s="123" t="s">
        <v>487</v>
      </c>
      <c r="R26" s="124" t="str">
        <f t="shared" si="0"/>
        <v>Probabilidad</v>
      </c>
      <c r="S26" s="125" t="s">
        <v>15</v>
      </c>
      <c r="T26" s="125" t="s">
        <v>9</v>
      </c>
      <c r="U26" s="126"/>
      <c r="V26" s="125" t="s">
        <v>19</v>
      </c>
      <c r="W26" s="125" t="s">
        <v>23</v>
      </c>
      <c r="X26" s="125" t="s">
        <v>118</v>
      </c>
      <c r="Y26" s="127"/>
      <c r="Z26" s="128" t="str">
        <f>IFERROR(IF(Y26="","",IF(Y26&lt;=0.2,"Muy Baja",IF(Y26&lt;=0.4,"Baja",IF(Y26&lt;=0.6,"Media",IF(Y26&lt;=0.8,"Alta","Muy Alta"))))),"")</f>
        <v/>
      </c>
      <c r="AA26" s="129">
        <f t="shared" si="2"/>
        <v>0</v>
      </c>
      <c r="AB26" s="128" t="str">
        <f>IFERROR(IF(AC26="","",IF(AC26&lt;=0.2,"Leve",IF(AC26&lt;=0.4,"Menor",IF(AC26&lt;=0.6,"Moderado",IF(AC26&lt;=0.8,"Mayor","Catastrófico"))))),"")</f>
        <v/>
      </c>
      <c r="AC26" s="129" t="str">
        <f>IFERROR(IF(AND(#REF!="Impacto",R26="Impacto"),(#REF!-(+#REF!*U26)),IF(AND(#REF!="Probabilidad",R26="Impacto"),(AC25-(+AC25*U26)),IF(R26="Probabilidad",#REF!,""))),"")</f>
        <v/>
      </c>
      <c r="AD26" s="130" t="str">
        <f t="shared" si="3"/>
        <v/>
      </c>
      <c r="AE26" s="131"/>
      <c r="AF26" s="132"/>
      <c r="AG26" s="133"/>
      <c r="AH26" s="134"/>
      <c r="AI26" s="134"/>
      <c r="AJ26" s="132"/>
      <c r="AK26" s="133"/>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34.5" customHeight="1" x14ac:dyDescent="0.3">
      <c r="A27" s="236"/>
      <c r="B27" s="280"/>
      <c r="C27" s="226"/>
      <c r="D27" s="226"/>
      <c r="E27" s="226"/>
      <c r="F27" s="224"/>
      <c r="G27" s="226"/>
      <c r="H27" s="228"/>
      <c r="I27" s="230"/>
      <c r="J27" s="232"/>
      <c r="K27" s="234"/>
      <c r="L27" s="232">
        <f>IF(NOT(ISERROR(MATCH(K27,_xlfn.ANCHORARRAY(#REF!),0))),#REF!&amp;"Por favor no seleccionar los criterios de impacto",K27)</f>
        <v>0</v>
      </c>
      <c r="M27" s="230"/>
      <c r="N27" s="232"/>
      <c r="O27" s="215"/>
      <c r="P27" s="122">
        <v>2</v>
      </c>
      <c r="Q27" s="123" t="s">
        <v>488</v>
      </c>
      <c r="R27" s="124" t="str">
        <f t="shared" si="0"/>
        <v>Probabilidad</v>
      </c>
      <c r="S27" s="125" t="s">
        <v>15</v>
      </c>
      <c r="T27" s="125" t="s">
        <v>9</v>
      </c>
      <c r="U27" s="126"/>
      <c r="V27" s="125" t="s">
        <v>19</v>
      </c>
      <c r="W27" s="125" t="s">
        <v>23</v>
      </c>
      <c r="X27" s="125" t="s">
        <v>118</v>
      </c>
      <c r="Y27" s="127"/>
      <c r="Z27" s="128"/>
      <c r="AA27" s="129"/>
      <c r="AB27" s="128"/>
      <c r="AC27" s="129"/>
      <c r="AD27" s="130"/>
      <c r="AE27" s="131"/>
      <c r="AF27" s="132"/>
      <c r="AG27" s="133"/>
      <c r="AH27" s="134"/>
      <c r="AI27" s="134"/>
      <c r="AJ27" s="132"/>
      <c r="AK27" s="133"/>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35.25" customHeight="1" x14ac:dyDescent="0.3">
      <c r="A28" s="236"/>
      <c r="B28" s="280"/>
      <c r="C28" s="226"/>
      <c r="D28" s="226"/>
      <c r="E28" s="226"/>
      <c r="F28" s="224"/>
      <c r="G28" s="226"/>
      <c r="H28" s="228"/>
      <c r="I28" s="230"/>
      <c r="J28" s="232"/>
      <c r="K28" s="234"/>
      <c r="L28" s="232">
        <f>IF(NOT(ISERROR(MATCH(K28,_xlfn.ANCHORARRAY(#REF!),0))),#REF!&amp;"Por favor no seleccionar los criterios de impacto",K28)</f>
        <v>0</v>
      </c>
      <c r="M28" s="230"/>
      <c r="N28" s="232"/>
      <c r="O28" s="215"/>
      <c r="P28" s="122">
        <v>3</v>
      </c>
      <c r="Q28" s="123"/>
      <c r="R28" s="124" t="str">
        <f t="shared" si="0"/>
        <v/>
      </c>
      <c r="S28" s="125"/>
      <c r="T28" s="125"/>
      <c r="U28" s="126"/>
      <c r="V28" s="125"/>
      <c r="W28" s="125"/>
      <c r="X28" s="125"/>
      <c r="Y28" s="127"/>
      <c r="Z28" s="128"/>
      <c r="AA28" s="129"/>
      <c r="AB28" s="128"/>
      <c r="AC28" s="129"/>
      <c r="AD28" s="130"/>
      <c r="AE28" s="131"/>
      <c r="AF28" s="132"/>
      <c r="AG28" s="133"/>
      <c r="AH28" s="134"/>
      <c r="AI28" s="134"/>
      <c r="AJ28" s="132"/>
      <c r="AK28" s="133"/>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24" customHeight="1" x14ac:dyDescent="0.3">
      <c r="A29" s="236"/>
      <c r="B29" s="280"/>
      <c r="C29" s="226"/>
      <c r="D29" s="226"/>
      <c r="E29" s="226"/>
      <c r="F29" s="224"/>
      <c r="G29" s="226"/>
      <c r="H29" s="228"/>
      <c r="I29" s="230"/>
      <c r="J29" s="232"/>
      <c r="K29" s="234"/>
      <c r="L29" s="232">
        <f>IF(NOT(ISERROR(MATCH(K29,_xlfn.ANCHORARRAY(#REF!),0))),#REF!&amp;"Por favor no seleccionar los criterios de impacto",K29)</f>
        <v>0</v>
      </c>
      <c r="M29" s="230"/>
      <c r="N29" s="232"/>
      <c r="O29" s="215"/>
      <c r="P29" s="122">
        <v>4</v>
      </c>
      <c r="Q29" s="123"/>
      <c r="R29" s="124" t="str">
        <f t="shared" si="0"/>
        <v/>
      </c>
      <c r="S29" s="125"/>
      <c r="T29" s="125"/>
      <c r="U29" s="126"/>
      <c r="V29" s="125"/>
      <c r="W29" s="125"/>
      <c r="X29" s="125"/>
      <c r="Y29" s="127"/>
      <c r="Z29" s="128"/>
      <c r="AA29" s="129"/>
      <c r="AB29" s="128"/>
      <c r="AC29" s="129"/>
      <c r="AD29" s="130"/>
      <c r="AE29" s="131"/>
      <c r="AF29" s="132"/>
      <c r="AG29" s="133"/>
      <c r="AH29" s="134"/>
      <c r="AI29" s="134"/>
      <c r="AJ29" s="132"/>
      <c r="AK29" s="133"/>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6.5" customHeight="1" x14ac:dyDescent="0.3">
      <c r="A30" s="236"/>
      <c r="B30" s="280"/>
      <c r="C30" s="226"/>
      <c r="D30" s="226"/>
      <c r="E30" s="226"/>
      <c r="F30" s="224"/>
      <c r="G30" s="226"/>
      <c r="H30" s="228"/>
      <c r="I30" s="230"/>
      <c r="J30" s="232"/>
      <c r="K30" s="234"/>
      <c r="L30" s="232">
        <f>IF(NOT(ISERROR(MATCH(K30,_xlfn.ANCHORARRAY(#REF!),0))),#REF!&amp;"Por favor no seleccionar los criterios de impacto",K30)</f>
        <v>0</v>
      </c>
      <c r="M30" s="230"/>
      <c r="N30" s="232"/>
      <c r="O30" s="215"/>
      <c r="P30" s="122">
        <v>5</v>
      </c>
      <c r="Q30" s="123"/>
      <c r="R30" s="124" t="str">
        <f t="shared" si="0"/>
        <v/>
      </c>
      <c r="S30" s="125"/>
      <c r="T30" s="125"/>
      <c r="U30" s="126"/>
      <c r="V30" s="125"/>
      <c r="W30" s="125"/>
      <c r="X30" s="125"/>
      <c r="Y30" s="127"/>
      <c r="Z30" s="128"/>
      <c r="AA30" s="129"/>
      <c r="AB30" s="128"/>
      <c r="AC30" s="129"/>
      <c r="AD30" s="130"/>
      <c r="AE30" s="131"/>
      <c r="AF30" s="132"/>
      <c r="AG30" s="133"/>
      <c r="AH30" s="134"/>
      <c r="AI30" s="134"/>
      <c r="AJ30" s="132"/>
      <c r="AK30" s="133"/>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57.75" customHeight="1" x14ac:dyDescent="0.3">
      <c r="A31" s="236">
        <v>7</v>
      </c>
      <c r="B31" s="280"/>
      <c r="C31" s="225" t="s">
        <v>133</v>
      </c>
      <c r="D31" s="225" t="s">
        <v>270</v>
      </c>
      <c r="E31" s="225" t="s">
        <v>490</v>
      </c>
      <c r="F31" s="223" t="s">
        <v>491</v>
      </c>
      <c r="G31" s="225" t="s">
        <v>122</v>
      </c>
      <c r="H31" s="227">
        <v>260</v>
      </c>
      <c r="I31" s="229" t="str">
        <f>IF(H31&lt;=0,"",IF(H31&lt;=2,"Muy Baja",IF(H31&lt;=15,"Baja",IF(H31&lt;=100,"Media",IF(H31&lt;=1000,"Alta","Muy Alta")))))</f>
        <v>Alta</v>
      </c>
      <c r="J31" s="231">
        <f>IF(I31="","",IF(I31="Muy Baja",0.2,IF(I31="Baja",0.4,IF(I31="Media",0.6,IF(I31="Alta",0.8,IF(I31="Muy Alta",1,))))))</f>
        <v>0.8</v>
      </c>
      <c r="K31" s="233" t="s">
        <v>150</v>
      </c>
      <c r="L31" s="231" t="str">
        <f>IF(NOT(ISERROR(MATCH(K31,'Tabla Impacto'!$B$221:$B$223,0))),'Tabla Impacto'!$F$223&amp;"Por favor no seleccionar los criterios de impacto(Afectación Económica o presupuestal y Pérdida Reputacional)",K31)</f>
        <v xml:space="preserve">     Entre 100 y 500 SMLMV </v>
      </c>
      <c r="M31" s="229" t="str">
        <f>IF(OR(L31='Tabla Impacto'!$C$11,L31='Tabla Impacto'!$D$11),"Leve",IF(OR(L31='Tabla Impacto'!$C$12,L31='Tabla Impacto'!$D$12),"Menor",IF(OR(L31='Tabla Impacto'!$C$13,L31='Tabla Impacto'!$D$13),"Moderado",IF(OR(L31='Tabla Impacto'!$C$14,L31='Tabla Impacto'!$D$14),"Mayor",IF(OR(L31='Tabla Impacto'!$C$15,L31='Tabla Impacto'!$D$15),"Catastrófico","")))))</f>
        <v>Mayor</v>
      </c>
      <c r="N31" s="231">
        <f>IF(M31="","",IF(M31="Leve",0.2,IF(M31="Menor",0.4,IF(M31="Moderado",0.6,IF(M31="Mayor",0.8,IF(M31="Catastrófico",1,))))))</f>
        <v>0.8</v>
      </c>
      <c r="O31" s="214" t="str">
        <f>IF(OR(AND(I31="Muy Baja",M31="Leve"),AND(I31="Muy Baja",M31="Menor"),AND(I31="Baja",M31="Leve")),"Bajo",IF(OR(AND(I31="Muy baja",M31="Moderado"),AND(I31="Baja",M31="Menor"),AND(I31="Baja",M31="Moderado"),AND(I31="Media",M31="Leve"),AND(I31="Media",M31="Menor"),AND(I31="Media",M31="Moderado"),AND(I31="Alta",M31="Leve"),AND(I31="Alta",M31="Menor")),"Moderado",IF(OR(AND(I31="Muy Baja",M31="Mayor"),AND(I31="Baja",M31="Mayor"),AND(I31="Media",M31="Mayor"),AND(I31="Alta",M31="Moderado"),AND(I31="Alta",M31="Mayor"),AND(I31="Muy Alta",M31="Leve"),AND(I31="Muy Alta",M31="Menor"),AND(I31="Muy Alta",M31="Moderado"),AND(I31="Muy Alta",M31="Mayor")),"Alto",IF(OR(AND(I31="Muy Baja",M31="Catastrófico"),AND(I31="Baja",M31="Catastrófico"),AND(I31="Media",M31="Catastrófico"),AND(I31="Alta",M31="Catastrófico"),AND(I31="Muy Alta",M31="Catastrófico")),"Extremo",""))))</f>
        <v>Alto</v>
      </c>
      <c r="P31" s="122">
        <v>1</v>
      </c>
      <c r="Q31" s="123" t="s">
        <v>489</v>
      </c>
      <c r="R31" s="124" t="str">
        <f t="shared" si="0"/>
        <v>Probabilidad</v>
      </c>
      <c r="S31" s="125" t="s">
        <v>15</v>
      </c>
      <c r="T31" s="125" t="s">
        <v>9</v>
      </c>
      <c r="U31" s="126"/>
      <c r="V31" s="125" t="s">
        <v>19</v>
      </c>
      <c r="W31" s="125" t="s">
        <v>22</v>
      </c>
      <c r="X31" s="125" t="s">
        <v>118</v>
      </c>
      <c r="Y31" s="127"/>
      <c r="Z31" s="128"/>
      <c r="AA31" s="129"/>
      <c r="AB31" s="128"/>
      <c r="AC31" s="129"/>
      <c r="AD31" s="130"/>
      <c r="AE31" s="131"/>
      <c r="AF31" s="132"/>
      <c r="AG31" s="133"/>
      <c r="AH31" s="134"/>
      <c r="AI31" s="134"/>
      <c r="AJ31" s="132"/>
      <c r="AK31" s="133"/>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24" customHeight="1" x14ac:dyDescent="0.3">
      <c r="A32" s="236"/>
      <c r="B32" s="280"/>
      <c r="C32" s="226"/>
      <c r="D32" s="226"/>
      <c r="E32" s="226"/>
      <c r="F32" s="224"/>
      <c r="G32" s="226"/>
      <c r="H32" s="228"/>
      <c r="I32" s="230"/>
      <c r="J32" s="232"/>
      <c r="K32" s="234"/>
      <c r="L32" s="232">
        <f>IF(NOT(ISERROR(MATCH(K32,_xlfn.ANCHORARRAY(#REF!),0))),#REF!&amp;"Por favor no seleccionar los criterios de impacto",K32)</f>
        <v>0</v>
      </c>
      <c r="M32" s="230"/>
      <c r="N32" s="232"/>
      <c r="O32" s="215"/>
      <c r="P32" s="122">
        <v>2</v>
      </c>
      <c r="Q32" s="123"/>
      <c r="R32" s="124" t="str">
        <f t="shared" si="0"/>
        <v/>
      </c>
      <c r="S32" s="125"/>
      <c r="T32" s="125"/>
      <c r="U32" s="126"/>
      <c r="V32" s="125"/>
      <c r="W32" s="125"/>
      <c r="X32" s="125"/>
      <c r="Y32" s="127"/>
      <c r="Z32" s="128"/>
      <c r="AA32" s="129"/>
      <c r="AB32" s="128"/>
      <c r="AC32" s="129"/>
      <c r="AD32" s="130"/>
      <c r="AE32" s="131"/>
      <c r="AF32" s="132"/>
      <c r="AG32" s="133"/>
      <c r="AH32" s="134"/>
      <c r="AI32" s="134"/>
      <c r="AJ32" s="132"/>
      <c r="AK32" s="133"/>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43.5" customHeight="1" x14ac:dyDescent="0.3">
      <c r="A33" s="236"/>
      <c r="B33" s="280"/>
      <c r="C33" s="226"/>
      <c r="D33" s="226"/>
      <c r="E33" s="226"/>
      <c r="F33" s="224"/>
      <c r="G33" s="226"/>
      <c r="H33" s="228"/>
      <c r="I33" s="230"/>
      <c r="J33" s="232"/>
      <c r="K33" s="234"/>
      <c r="L33" s="232">
        <f>IF(NOT(ISERROR(MATCH(K33,_xlfn.ANCHORARRAY(#REF!),0))),#REF!&amp;"Por favor no seleccionar los criterios de impacto",K33)</f>
        <v>0</v>
      </c>
      <c r="M33" s="230"/>
      <c r="N33" s="232"/>
      <c r="O33" s="215"/>
      <c r="P33" s="122">
        <v>3</v>
      </c>
      <c r="Q33" s="123"/>
      <c r="R33" s="124" t="str">
        <f t="shared" si="0"/>
        <v/>
      </c>
      <c r="S33" s="125"/>
      <c r="T33" s="125"/>
      <c r="U33" s="126"/>
      <c r="V33" s="125"/>
      <c r="W33" s="125"/>
      <c r="X33" s="125"/>
      <c r="Y33" s="127"/>
      <c r="Z33" s="128"/>
      <c r="AA33" s="129"/>
      <c r="AB33" s="128"/>
      <c r="AC33" s="129"/>
      <c r="AD33" s="130"/>
      <c r="AE33" s="131"/>
      <c r="AF33" s="132"/>
      <c r="AG33" s="133"/>
      <c r="AH33" s="134"/>
      <c r="AI33" s="134"/>
      <c r="AJ33" s="132"/>
      <c r="AK33" s="133"/>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93.5" customHeight="1" x14ac:dyDescent="0.3">
      <c r="A34" s="236"/>
      <c r="B34" s="280"/>
      <c r="C34" s="154" t="s">
        <v>132</v>
      </c>
      <c r="D34" s="170" t="s">
        <v>271</v>
      </c>
      <c r="E34" s="170" t="s">
        <v>492</v>
      </c>
      <c r="F34" s="171" t="s">
        <v>493</v>
      </c>
      <c r="G34" s="154" t="s">
        <v>122</v>
      </c>
      <c r="H34" s="156">
        <v>120</v>
      </c>
      <c r="I34" s="157" t="str">
        <f t="shared" ref="I34:I40" si="6">IF(H34&lt;=0,"",IF(H34&lt;=2,"Muy Baja",IF(H34&lt;=15,"Baja",IF(H34&lt;=100,"Media",IF(H34&lt;=1000,"Alta","Muy Alta")))))</f>
        <v>Alta</v>
      </c>
      <c r="J34" s="158">
        <f>IF(I34="","",IF(I34="Muy Baja",0.2,IF(I34="Baja",0.4,IF(I34="Media",0.6,IF(I34="Alta",0.8,IF(I34="Muy Alta",1,))))))</f>
        <v>0.8</v>
      </c>
      <c r="K34" s="159" t="s">
        <v>150</v>
      </c>
      <c r="L34" s="158" t="str">
        <f>IF(NOT(ISERROR(MATCH(K34,'Tabla Impacto'!$B$221:$B$223,0))),'Tabla Impacto'!$F$223&amp;"Por favor no seleccionar los criterios de impacto(Afectación Económica o presupuestal y Pérdida Reputacional)",K34)</f>
        <v xml:space="preserve">     Entre 100 y 500 SMLMV </v>
      </c>
      <c r="M34" s="157" t="str">
        <f>IF(OR(L34='Tabla Impacto'!$C$11,L34='Tabla Impacto'!$D$11),"Leve",IF(OR(L34='Tabla Impacto'!$C$12,L34='Tabla Impacto'!$D$12),"Menor",IF(OR(L34='Tabla Impacto'!$C$13,L34='Tabla Impacto'!$D$13),"Moderado",IF(OR(L34='Tabla Impacto'!$C$14,L34='Tabla Impacto'!$D$14),"Mayor",IF(OR(L34='Tabla Impacto'!$C$15,L34='Tabla Impacto'!$D$15),"Catastrófico","")))))</f>
        <v>Mayor</v>
      </c>
      <c r="N34" s="158">
        <f t="shared" ref="N34:N40" si="7">IF(M34="","",IF(M34="Leve",0.2,IF(M34="Menor",0.4,IF(M34="Moderado",0.6,IF(M34="Mayor",0.8,IF(M34="Catastrófico",1,))))))</f>
        <v>0.8</v>
      </c>
      <c r="O34" s="160" t="str">
        <f t="shared" ref="O34:O40" si="8">IF(OR(AND(I34="Muy Baja",M34="Leve"),AND(I34="Muy Baja",M34="Menor"),AND(I34="Baja",M34="Leve")),"Bajo",IF(OR(AND(I34="Muy baja",M34="Moderado"),AND(I34="Baja",M34="Menor"),AND(I34="Baja",M34="Moderado"),AND(I34="Media",M34="Leve"),AND(I34="Media",M34="Menor"),AND(I34="Media",M34="Moderado"),AND(I34="Alta",M34="Leve"),AND(I34="Alta",M34="Menor")),"Moderado",IF(OR(AND(I34="Muy Baja",M34="Mayor"),AND(I34="Baja",M34="Mayor"),AND(I34="Media",M34="Mayor"),AND(I34="Alta",M34="Moderado"),AND(I34="Alta",M34="Mayor"),AND(I34="Muy Alta",M34="Leve"),AND(I34="Muy Alta",M34="Menor"),AND(I34="Muy Alta",M34="Moderado"),AND(I34="Muy Alta",M34="Mayor")),"Alto",IF(OR(AND(I34="Muy Baja",M34="Catastrófico"),AND(I34="Baja",M34="Catastrófico"),AND(I34="Media",M34="Catastrófico"),AND(I34="Alta",M34="Catastrófico"),AND(I34="Muy Alta",M34="Catastrófico")),"Extremo",""))))</f>
        <v>Alto</v>
      </c>
      <c r="P34" s="122">
        <v>1</v>
      </c>
      <c r="Q34" s="123" t="s">
        <v>494</v>
      </c>
      <c r="R34" s="124" t="str">
        <f t="shared" si="0"/>
        <v>Probabilidad</v>
      </c>
      <c r="S34" s="125" t="s">
        <v>15</v>
      </c>
      <c r="T34" s="125" t="s">
        <v>9</v>
      </c>
      <c r="U34" s="126"/>
      <c r="V34" s="125" t="s">
        <v>19</v>
      </c>
      <c r="W34" s="125" t="s">
        <v>22</v>
      </c>
      <c r="X34" s="125" t="s">
        <v>118</v>
      </c>
      <c r="Y34" s="127"/>
      <c r="Z34" s="128"/>
      <c r="AA34" s="129"/>
      <c r="AB34" s="128"/>
      <c r="AC34" s="129"/>
      <c r="AD34" s="130"/>
      <c r="AE34" s="131"/>
      <c r="AF34" s="132"/>
      <c r="AG34" s="133"/>
      <c r="AH34" s="134"/>
      <c r="AI34" s="134"/>
      <c r="AJ34" s="132"/>
      <c r="AK34" s="133"/>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39.5" customHeight="1" x14ac:dyDescent="0.3">
      <c r="A35" s="152">
        <v>8</v>
      </c>
      <c r="B35" s="280"/>
      <c r="C35" s="154" t="s">
        <v>133</v>
      </c>
      <c r="D35" s="154" t="s">
        <v>223</v>
      </c>
      <c r="E35" s="154" t="s">
        <v>495</v>
      </c>
      <c r="F35" s="155" t="s">
        <v>496</v>
      </c>
      <c r="G35" s="154" t="s">
        <v>122</v>
      </c>
      <c r="H35" s="156">
        <v>260</v>
      </c>
      <c r="I35" s="157" t="str">
        <f t="shared" si="6"/>
        <v>Alta</v>
      </c>
      <c r="J35" s="158">
        <f>IF(I35="","",IF(I35="Muy Baja",0.2,IF(I35="Baja",0.4,IF(I35="Media",0.6,IF(I35="Alta",0.8,IF(I35="Muy Alta",1,))))))</f>
        <v>0.8</v>
      </c>
      <c r="K35" s="159" t="s">
        <v>150</v>
      </c>
      <c r="L35" s="158" t="str">
        <f>IF(NOT(ISERROR(MATCH(K35,'Tabla Impacto'!$B$221:$B$223,0))),'Tabla Impacto'!$F$223&amp;"Por favor no seleccionar los criterios de impacto(Afectación Económica o presupuestal y Pérdida Reputacional)",K35)</f>
        <v xml:space="preserve">     Entre 100 y 500 SMLMV </v>
      </c>
      <c r="M35" s="157" t="str">
        <f>IF(OR(L35='Tabla Impacto'!$C$11,L35='Tabla Impacto'!$D$11),"Leve",IF(OR(L35='Tabla Impacto'!$C$12,L35='Tabla Impacto'!$D$12),"Menor",IF(OR(L35='Tabla Impacto'!$C$13,L35='Tabla Impacto'!$D$13),"Moderado",IF(OR(L35='Tabla Impacto'!$C$14,L35='Tabla Impacto'!$D$14),"Mayor",IF(OR(L35='Tabla Impacto'!$C$15,L35='Tabla Impacto'!$D$15),"Catastrófico","")))))</f>
        <v>Mayor</v>
      </c>
      <c r="N35" s="158">
        <f t="shared" si="7"/>
        <v>0.8</v>
      </c>
      <c r="O35" s="160" t="str">
        <f t="shared" si="8"/>
        <v>Alto</v>
      </c>
      <c r="P35" s="122">
        <v>1</v>
      </c>
      <c r="Q35" s="123" t="s">
        <v>497</v>
      </c>
      <c r="R35" s="124" t="str">
        <f t="shared" si="0"/>
        <v>Impacto</v>
      </c>
      <c r="S35" s="125" t="s">
        <v>16</v>
      </c>
      <c r="T35" s="125" t="s">
        <v>9</v>
      </c>
      <c r="U35" s="126" t="str">
        <f t="shared" ref="U35:U40" si="9">IF(AND(S35="Preventivo",T35="Automático"),"50%",IF(AND(S35="Preventivo",T35="Manual"),"40%",IF(AND(S35="Detectivo",T35="Automático"),"40%",IF(AND(S35="Detectivo",T35="Manual"),"30%",IF(AND(S35="Correctivo",T35="Automático"),"35%",IF(AND(S35="Correctivo",T35="Manual"),"25%",""))))))</f>
        <v>25%</v>
      </c>
      <c r="V35" s="125" t="s">
        <v>19</v>
      </c>
      <c r="W35" s="125" t="s">
        <v>22</v>
      </c>
      <c r="X35" s="125" t="s">
        <v>118</v>
      </c>
      <c r="Y35" s="127">
        <f t="shared" ref="Y35:Y40" si="10">IFERROR(IF(R35="Probabilidad",(J35-(+J35*U35)),IF(R35="Impacto",J35,"")),"")</f>
        <v>0.8</v>
      </c>
      <c r="Z35" s="128" t="str">
        <f t="shared" ref="Z35:Z40" si="11">IFERROR(IF(Y35="","",IF(Y35&lt;=0.2,"Muy Baja",IF(Y35&lt;=0.4,"Baja",IF(Y35&lt;=0.6,"Media",IF(Y35&lt;=0.8,"Alta","Muy Alta"))))),"")</f>
        <v>Alta</v>
      </c>
      <c r="AA35" s="129">
        <f t="shared" ref="AA35:AA40" si="12">+Y35</f>
        <v>0.8</v>
      </c>
      <c r="AB35" s="128" t="str">
        <f t="shared" ref="AB35:AB40" si="13">IFERROR(IF(AC35="","",IF(AC35&lt;=0.2,"Leve",IF(AC35&lt;=0.4,"Menor",IF(AC35&lt;=0.6,"Moderado",IF(AC35&lt;=0.8,"Mayor","Catastrófico"))))),"")</f>
        <v>Moderado</v>
      </c>
      <c r="AC35" s="129">
        <f t="shared" ref="AC35:AC40" si="14">IFERROR(IF(R35="Impacto",(N35-(+N35*U35)),IF(R35="Probabilidad",N35,"")),"")</f>
        <v>0.60000000000000009</v>
      </c>
      <c r="AD35" s="130" t="str">
        <f t="shared" ref="AD35:AD40" si="15">IFERROR(IF(OR(AND(Z35="Muy Baja",AB35="Leve"),AND(Z35="Muy Baja",AB35="Menor"),AND(Z35="Baja",AB35="Leve")),"Bajo",IF(OR(AND(Z35="Muy baja",AB35="Moderado"),AND(Z35="Baja",AB35="Menor"),AND(Z35="Baja",AB35="Moderado"),AND(Z35="Media",AB35="Leve"),AND(Z35="Media",AB35="Menor"),AND(Z35="Media",AB35="Moderado"),AND(Z35="Alta",AB35="Leve"),AND(Z35="Alta",AB35="Menor")),"Moderado",IF(OR(AND(Z35="Muy Baja",AB35="Mayor"),AND(Z35="Baja",AB35="Mayor"),AND(Z35="Media",AB35="Mayor"),AND(Z35="Alta",AB35="Moderado"),AND(Z35="Alta",AB35="Mayor"),AND(Z35="Muy Alta",AB35="Leve"),AND(Z35="Muy Alta",AB35="Menor"),AND(Z35="Muy Alta",AB35="Moderado"),AND(Z35="Muy Alta",AB35="Mayor")),"Alto",IF(OR(AND(Z35="Muy Baja",AB35="Catastrófico"),AND(Z35="Baja",AB35="Catastrófico"),AND(Z35="Media",AB35="Catastrófico"),AND(Z35="Alta",AB35="Catastrófico"),AND(Z35="Muy Alta",AB35="Catastrófico")),"Extremo","")))),"")</f>
        <v>Alto</v>
      </c>
      <c r="AE35" s="131" t="s">
        <v>136</v>
      </c>
      <c r="AF35" s="132"/>
      <c r="AG35" s="133"/>
      <c r="AH35" s="134"/>
      <c r="AI35" s="134"/>
      <c r="AJ35" s="132"/>
      <c r="AK35" s="133"/>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75.5" customHeight="1" x14ac:dyDescent="0.3">
      <c r="A36" s="152">
        <v>9</v>
      </c>
      <c r="B36" s="281" t="s">
        <v>252</v>
      </c>
      <c r="C36" s="154" t="s">
        <v>132</v>
      </c>
      <c r="D36" s="154" t="s">
        <v>224</v>
      </c>
      <c r="E36" s="154" t="s">
        <v>225</v>
      </c>
      <c r="F36" s="155" t="s">
        <v>231</v>
      </c>
      <c r="G36" s="154" t="s">
        <v>127</v>
      </c>
      <c r="H36" s="156">
        <v>15</v>
      </c>
      <c r="I36" s="157" t="str">
        <f t="shared" si="6"/>
        <v>Baja</v>
      </c>
      <c r="J36" s="158">
        <f>IF(I36="","",IF(I36="Muy Baja",0.2,IF(I36="Baja",0.4,IF(I36="Media",0.6,IF(I36="Alta",0.8,IF(I36="Muy Alta",1,))))))</f>
        <v>0.4</v>
      </c>
      <c r="K36" s="159" t="s">
        <v>149</v>
      </c>
      <c r="L36" s="158" t="str">
        <f>IF(NOT(ISERROR(MATCH(K36,'Tabla Impacto'!$B$221:$B$223,0))),'Tabla Impacto'!$F$223&amp;"Por favor no seleccionar los criterios de impacto(Afectación Económica o presupuestal y Pérdida Reputacional)",K36)</f>
        <v xml:space="preserve">     Entre 10 y 50 SMLMV </v>
      </c>
      <c r="M36" s="157" t="str">
        <f>IF(OR(L36='Tabla Impacto'!$C$11,L36='Tabla Impacto'!$D$11),"Leve",IF(OR(L36='Tabla Impacto'!$C$12,L36='Tabla Impacto'!$D$12),"Menor",IF(OR(L36='Tabla Impacto'!$C$13,L36='Tabla Impacto'!$D$13),"Moderado",IF(OR(L36='Tabla Impacto'!$C$14,L36='Tabla Impacto'!$D$14),"Mayor",IF(OR(L36='Tabla Impacto'!$C$15,L36='Tabla Impacto'!$D$15),"Catastrófico","")))))</f>
        <v>Menor</v>
      </c>
      <c r="N36" s="158">
        <f t="shared" si="7"/>
        <v>0.4</v>
      </c>
      <c r="O36" s="160" t="str">
        <f t="shared" si="8"/>
        <v>Moderado</v>
      </c>
      <c r="P36" s="122">
        <v>1</v>
      </c>
      <c r="Q36" s="123" t="s">
        <v>509</v>
      </c>
      <c r="R36" s="124" t="str">
        <f t="shared" si="0"/>
        <v>Probabilidad</v>
      </c>
      <c r="S36" s="125" t="s">
        <v>14</v>
      </c>
      <c r="T36" s="125" t="s">
        <v>9</v>
      </c>
      <c r="U36" s="126" t="str">
        <f t="shared" si="9"/>
        <v>40%</v>
      </c>
      <c r="V36" s="125" t="s">
        <v>19</v>
      </c>
      <c r="W36" s="125" t="s">
        <v>22</v>
      </c>
      <c r="X36" s="125" t="s">
        <v>118</v>
      </c>
      <c r="Y36" s="127">
        <f t="shared" si="10"/>
        <v>0.24</v>
      </c>
      <c r="Z36" s="128" t="str">
        <f t="shared" si="11"/>
        <v>Baja</v>
      </c>
      <c r="AA36" s="129">
        <f t="shared" si="12"/>
        <v>0.24</v>
      </c>
      <c r="AB36" s="128" t="str">
        <f t="shared" si="13"/>
        <v>Menor</v>
      </c>
      <c r="AC36" s="129">
        <f t="shared" si="14"/>
        <v>0.4</v>
      </c>
      <c r="AD36" s="130" t="str">
        <f t="shared" si="15"/>
        <v>Moderado</v>
      </c>
      <c r="AE36" s="131" t="s">
        <v>135</v>
      </c>
      <c r="AF36" s="169" t="s">
        <v>510</v>
      </c>
      <c r="AG36" s="133" t="s">
        <v>500</v>
      </c>
      <c r="AH36" s="134" t="s">
        <v>407</v>
      </c>
      <c r="AI36" s="134" t="s">
        <v>362</v>
      </c>
      <c r="AJ36" s="132" t="s">
        <v>502</v>
      </c>
      <c r="AK36" s="133" t="s">
        <v>41</v>
      </c>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39.5" customHeight="1" x14ac:dyDescent="0.3">
      <c r="A37" s="152">
        <v>10</v>
      </c>
      <c r="B37" s="245"/>
      <c r="C37" s="154" t="s">
        <v>132</v>
      </c>
      <c r="D37" s="154" t="s">
        <v>226</v>
      </c>
      <c r="E37" s="154" t="s">
        <v>505</v>
      </c>
      <c r="F37" s="155" t="s">
        <v>232</v>
      </c>
      <c r="G37" s="154" t="s">
        <v>123</v>
      </c>
      <c r="H37" s="156">
        <v>10</v>
      </c>
      <c r="I37" s="157" t="str">
        <f t="shared" si="6"/>
        <v>Baja</v>
      </c>
      <c r="J37" s="158">
        <f>IF(I37="","",IF(I37="Muy Baja",0.2,IF(I37="Baja",0.4,IF(I37="Media",0.6,IF(I37="Alta",0.8,IF(I37="Muy Alta",1,))))))</f>
        <v>0.4</v>
      </c>
      <c r="K37" s="159" t="s">
        <v>150</v>
      </c>
      <c r="L37" s="158" t="str">
        <f>IF(NOT(ISERROR(MATCH(K37,'Tabla Impacto'!$B$221:$B$223,0))),'Tabla Impacto'!$F$223&amp;"Por favor no seleccionar los criterios de impacto(Afectación Económica o presupuestal y Pérdida Reputacional)",K37)</f>
        <v xml:space="preserve">     Entre 100 y 500 SMLMV </v>
      </c>
      <c r="M37" s="157" t="str">
        <f>IF(OR(L37='Tabla Impacto'!$C$11,L37='Tabla Impacto'!$D$11),"Leve",IF(OR(L37='Tabla Impacto'!$C$12,L37='Tabla Impacto'!$D$12),"Menor",IF(OR(L37='Tabla Impacto'!$C$13,L37='Tabla Impacto'!$D$13),"Moderado",IF(OR(L37='Tabla Impacto'!$C$14,L37='Tabla Impacto'!$D$14),"Mayor",IF(OR(L37='Tabla Impacto'!$C$15,L37='Tabla Impacto'!$D$15),"Catastrófico","")))))</f>
        <v>Mayor</v>
      </c>
      <c r="N37" s="158">
        <f t="shared" si="7"/>
        <v>0.8</v>
      </c>
      <c r="O37" s="160" t="str">
        <f t="shared" si="8"/>
        <v>Alto</v>
      </c>
      <c r="P37" s="122">
        <v>1</v>
      </c>
      <c r="Q37" s="123" t="s">
        <v>503</v>
      </c>
      <c r="R37" s="124" t="str">
        <f t="shared" ref="R37:R60" si="16">IF(OR(S37="Preventivo",S37="Detectivo"),"Probabilidad",IF(S37="Correctivo","Impacto",""))</f>
        <v>Probabilidad</v>
      </c>
      <c r="S37" s="125" t="s">
        <v>14</v>
      </c>
      <c r="T37" s="125" t="s">
        <v>9</v>
      </c>
      <c r="U37" s="126" t="str">
        <f t="shared" si="9"/>
        <v>40%</v>
      </c>
      <c r="V37" s="125" t="s">
        <v>19</v>
      </c>
      <c r="W37" s="125" t="s">
        <v>22</v>
      </c>
      <c r="X37" s="125" t="s">
        <v>118</v>
      </c>
      <c r="Y37" s="127">
        <f t="shared" si="10"/>
        <v>0.24</v>
      </c>
      <c r="Z37" s="128" t="str">
        <f t="shared" si="11"/>
        <v>Baja</v>
      </c>
      <c r="AA37" s="129">
        <f t="shared" si="12"/>
        <v>0.24</v>
      </c>
      <c r="AB37" s="128" t="str">
        <f t="shared" si="13"/>
        <v>Mayor</v>
      </c>
      <c r="AC37" s="129">
        <f t="shared" si="14"/>
        <v>0.8</v>
      </c>
      <c r="AD37" s="130" t="str">
        <f t="shared" si="15"/>
        <v>Alto</v>
      </c>
      <c r="AE37" s="131" t="s">
        <v>135</v>
      </c>
      <c r="AF37" s="132" t="s">
        <v>499</v>
      </c>
      <c r="AG37" s="133" t="s">
        <v>500</v>
      </c>
      <c r="AH37" s="134" t="s">
        <v>501</v>
      </c>
      <c r="AI37" s="134" t="s">
        <v>377</v>
      </c>
      <c r="AJ37" s="132" t="s">
        <v>502</v>
      </c>
      <c r="AK37" s="133" t="s">
        <v>41</v>
      </c>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39.5" customHeight="1" x14ac:dyDescent="0.3">
      <c r="A38" s="152">
        <v>11</v>
      </c>
      <c r="B38" s="245"/>
      <c r="C38" s="154" t="s">
        <v>132</v>
      </c>
      <c r="D38" s="154" t="s">
        <v>227</v>
      </c>
      <c r="E38" s="154" t="s">
        <v>228</v>
      </c>
      <c r="F38" s="155" t="s">
        <v>233</v>
      </c>
      <c r="G38" s="154" t="s">
        <v>123</v>
      </c>
      <c r="H38" s="156">
        <v>332</v>
      </c>
      <c r="I38" s="157" t="str">
        <f t="shared" si="6"/>
        <v>Alta</v>
      </c>
      <c r="J38" s="158">
        <f>IF(I38="","",IF(I38="Muy Baja",0.2,IF(I38="Baja",0.4,IF(I38="Media",0.6,IF(I38="Alta",0.8,IF(I38="Muy Alta",1,))))))</f>
        <v>0.8</v>
      </c>
      <c r="K38" s="159" t="s">
        <v>148</v>
      </c>
      <c r="L38" s="158" t="str">
        <f>IF(NOT(ISERROR(MATCH(K38,'Tabla Impacto'!$B$221:$B$223,0))),'Tabla Impacto'!$F$223&amp;"Por favor no seleccionar los criterios de impacto(Afectación Económica o presupuestal y Pérdida Reputacional)",K38)</f>
        <v xml:space="preserve">     Entre 50 y 100 SMLMV </v>
      </c>
      <c r="M38" s="157" t="str">
        <f>IF(OR(L38='Tabla Impacto'!$C$11,L38='Tabla Impacto'!$D$11),"Leve",IF(OR(L38='Tabla Impacto'!$C$12,L38='Tabla Impacto'!$D$12),"Menor",IF(OR(L38='Tabla Impacto'!$C$13,L38='Tabla Impacto'!$D$13),"Moderado",IF(OR(L38='Tabla Impacto'!$C$14,L38='Tabla Impacto'!$D$14),"Mayor",IF(OR(L38='Tabla Impacto'!$C$15,L38='Tabla Impacto'!$D$15),"Catastrófico","")))))</f>
        <v>Moderado</v>
      </c>
      <c r="N38" s="158">
        <f t="shared" si="7"/>
        <v>0.6</v>
      </c>
      <c r="O38" s="160" t="str">
        <f t="shared" si="8"/>
        <v>Alto</v>
      </c>
      <c r="P38" s="122">
        <v>1</v>
      </c>
      <c r="Q38" s="123" t="s">
        <v>503</v>
      </c>
      <c r="R38" s="124" t="str">
        <f t="shared" si="16"/>
        <v>Probabilidad</v>
      </c>
      <c r="S38" s="125" t="s">
        <v>14</v>
      </c>
      <c r="T38" s="125" t="s">
        <v>9</v>
      </c>
      <c r="U38" s="126" t="str">
        <f t="shared" si="9"/>
        <v>40%</v>
      </c>
      <c r="V38" s="125" t="s">
        <v>19</v>
      </c>
      <c r="W38" s="125" t="s">
        <v>23</v>
      </c>
      <c r="X38" s="125" t="s">
        <v>118</v>
      </c>
      <c r="Y38" s="127">
        <f t="shared" si="10"/>
        <v>0.48</v>
      </c>
      <c r="Z38" s="128" t="str">
        <f t="shared" si="11"/>
        <v>Media</v>
      </c>
      <c r="AA38" s="129">
        <f t="shared" si="12"/>
        <v>0.48</v>
      </c>
      <c r="AB38" s="128" t="str">
        <f t="shared" si="13"/>
        <v>Moderado</v>
      </c>
      <c r="AC38" s="129">
        <f t="shared" si="14"/>
        <v>0.6</v>
      </c>
      <c r="AD38" s="130" t="str">
        <f t="shared" si="15"/>
        <v>Moderado</v>
      </c>
      <c r="AE38" s="131" t="s">
        <v>135</v>
      </c>
      <c r="AF38" s="132" t="s">
        <v>499</v>
      </c>
      <c r="AG38" s="133" t="s">
        <v>500</v>
      </c>
      <c r="AH38" s="134" t="s">
        <v>504</v>
      </c>
      <c r="AI38" s="134" t="s">
        <v>377</v>
      </c>
      <c r="AJ38" s="132" t="s">
        <v>502</v>
      </c>
      <c r="AK38" s="133" t="s">
        <v>41</v>
      </c>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02" customHeight="1" x14ac:dyDescent="0.3">
      <c r="A39" s="152">
        <v>12</v>
      </c>
      <c r="B39" s="245"/>
      <c r="C39" s="154" t="s">
        <v>132</v>
      </c>
      <c r="D39" s="153" t="s">
        <v>506</v>
      </c>
      <c r="E39" s="154" t="s">
        <v>507</v>
      </c>
      <c r="F39" s="155" t="s">
        <v>508</v>
      </c>
      <c r="G39" s="154" t="s">
        <v>123</v>
      </c>
      <c r="H39" s="156">
        <v>332</v>
      </c>
      <c r="I39" s="157" t="str">
        <f t="shared" si="6"/>
        <v>Alta</v>
      </c>
      <c r="J39" s="158">
        <v>1</v>
      </c>
      <c r="K39" s="159" t="s">
        <v>151</v>
      </c>
      <c r="L39" s="158" t="str">
        <f>IF(NOT(ISERROR(MATCH(K39,'Tabla Impacto'!$B$221:$B$223,0))),'Tabla Impacto'!$F$223&amp;"Por favor no seleccionar los criterios de impacto(Afectación Económica o presupuestal y Pérdida Reputacional)",K39)</f>
        <v xml:space="preserve">     Mayor a 500 SMLMV </v>
      </c>
      <c r="M39" s="157" t="str">
        <f>IF(OR(L39='Tabla Impacto'!$C$11,L39='Tabla Impacto'!$D$11),"Leve",IF(OR(L39='Tabla Impacto'!$C$12,L39='Tabla Impacto'!$D$12),"Menor",IF(OR(L39='Tabla Impacto'!$C$13,L39='Tabla Impacto'!$D$13),"Moderado",IF(OR(L39='Tabla Impacto'!$C$14,L39='Tabla Impacto'!$D$14),"Mayor",IF(OR(L39='Tabla Impacto'!$C$15,L39='Tabla Impacto'!$D$15),"Catastrófico","")))))</f>
        <v>Catastrófico</v>
      </c>
      <c r="N39" s="158">
        <f t="shared" si="7"/>
        <v>1</v>
      </c>
      <c r="O39" s="160" t="str">
        <f t="shared" si="8"/>
        <v>Extremo</v>
      </c>
      <c r="P39" s="122">
        <v>1</v>
      </c>
      <c r="Q39" s="123" t="s">
        <v>512</v>
      </c>
      <c r="R39" s="124" t="str">
        <f t="shared" si="16"/>
        <v>Probabilidad</v>
      </c>
      <c r="S39" s="125" t="s">
        <v>14</v>
      </c>
      <c r="T39" s="125" t="s">
        <v>9</v>
      </c>
      <c r="U39" s="126" t="str">
        <f t="shared" si="9"/>
        <v>40%</v>
      </c>
      <c r="V39" s="125" t="s">
        <v>19</v>
      </c>
      <c r="W39" s="125" t="s">
        <v>22</v>
      </c>
      <c r="X39" s="125" t="s">
        <v>118</v>
      </c>
      <c r="Y39" s="127">
        <f t="shared" si="10"/>
        <v>0.6</v>
      </c>
      <c r="Z39" s="128" t="str">
        <f t="shared" si="11"/>
        <v>Media</v>
      </c>
      <c r="AA39" s="129">
        <f t="shared" si="12"/>
        <v>0.6</v>
      </c>
      <c r="AB39" s="128" t="str">
        <f t="shared" si="13"/>
        <v>Catastrófico</v>
      </c>
      <c r="AC39" s="129">
        <f t="shared" si="14"/>
        <v>1</v>
      </c>
      <c r="AD39" s="130" t="str">
        <f t="shared" si="15"/>
        <v>Extremo</v>
      </c>
      <c r="AE39" s="131" t="s">
        <v>135</v>
      </c>
      <c r="AF39" s="132" t="s">
        <v>511</v>
      </c>
      <c r="AG39" s="133" t="s">
        <v>500</v>
      </c>
      <c r="AH39" s="134" t="s">
        <v>504</v>
      </c>
      <c r="AI39" s="134" t="s">
        <v>377</v>
      </c>
      <c r="AJ39" s="132" t="s">
        <v>502</v>
      </c>
      <c r="AK39" s="133" t="s">
        <v>41</v>
      </c>
    </row>
    <row r="40" spans="1:69" ht="75.75" x14ac:dyDescent="0.3">
      <c r="A40" s="235">
        <v>13</v>
      </c>
      <c r="B40" s="247" t="s">
        <v>253</v>
      </c>
      <c r="C40" s="225" t="s">
        <v>131</v>
      </c>
      <c r="D40" s="308" t="s">
        <v>234</v>
      </c>
      <c r="E40" s="308" t="s">
        <v>235</v>
      </c>
      <c r="F40" s="223" t="s">
        <v>236</v>
      </c>
      <c r="G40" s="225" t="s">
        <v>122</v>
      </c>
      <c r="H40" s="227">
        <v>20</v>
      </c>
      <c r="I40" s="229" t="str">
        <f t="shared" si="6"/>
        <v>Media</v>
      </c>
      <c r="J40" s="231">
        <v>0.6</v>
      </c>
      <c r="K40" s="233" t="s">
        <v>155</v>
      </c>
      <c r="L40" s="231" t="str">
        <f>IF(NOT(ISERROR(MATCH(K40,'Tabla Impacto'!$B$221:$B$223,0))),'Tabla Impacto'!$F$223&amp;"Por favor no seleccionar los criterios de impacto(Afectación Económica o presupuestal y Pérdida Reputacional)",K40)</f>
        <v xml:space="preserve">     El riesgo afecta la imagen de de la entidad con efecto publicitario sostenido a nivel de sector administrativo, nivel departamental o municipal</v>
      </c>
      <c r="M40" s="229" t="str">
        <f>IF(OR(L40='Tabla Impacto'!$C$11,L40='Tabla Impacto'!$D$11),"Leve",IF(OR(L40='Tabla Impacto'!$C$12,L40='Tabla Impacto'!$D$12),"Menor",IF(OR(L40='Tabla Impacto'!$C$13,L40='Tabla Impacto'!$D$13),"Moderado",IF(OR(L40='Tabla Impacto'!$C$14,L40='Tabla Impacto'!$D$14),"Mayor",IF(OR(L40='Tabla Impacto'!$C$15,L40='Tabla Impacto'!$D$15),"Catastrófico","")))))</f>
        <v>Mayor</v>
      </c>
      <c r="N40" s="231">
        <f t="shared" si="7"/>
        <v>0.8</v>
      </c>
      <c r="O40" s="214" t="str">
        <f t="shared" si="8"/>
        <v>Alto</v>
      </c>
      <c r="P40" s="122">
        <v>1</v>
      </c>
      <c r="Q40" s="140" t="s">
        <v>305</v>
      </c>
      <c r="R40" s="124" t="str">
        <f t="shared" si="16"/>
        <v>Probabilidad</v>
      </c>
      <c r="S40" s="125" t="s">
        <v>14</v>
      </c>
      <c r="T40" s="125" t="s">
        <v>9</v>
      </c>
      <c r="U40" s="126" t="str">
        <f t="shared" si="9"/>
        <v>40%</v>
      </c>
      <c r="V40" s="143" t="s">
        <v>19</v>
      </c>
      <c r="W40" s="143" t="s">
        <v>22</v>
      </c>
      <c r="X40" s="143" t="s">
        <v>118</v>
      </c>
      <c r="Y40" s="127">
        <f t="shared" si="10"/>
        <v>0.36</v>
      </c>
      <c r="Z40" s="128" t="str">
        <f t="shared" si="11"/>
        <v>Baja</v>
      </c>
      <c r="AA40" s="129">
        <f t="shared" si="12"/>
        <v>0.36</v>
      </c>
      <c r="AB40" s="128" t="str">
        <f t="shared" si="13"/>
        <v>Mayor</v>
      </c>
      <c r="AC40" s="129">
        <f t="shared" si="14"/>
        <v>0.8</v>
      </c>
      <c r="AD40" s="130" t="str">
        <f t="shared" si="15"/>
        <v>Alto</v>
      </c>
      <c r="AE40" s="144" t="s">
        <v>135</v>
      </c>
      <c r="AF40" s="132" t="s">
        <v>318</v>
      </c>
      <c r="AG40" s="145" t="s">
        <v>331</v>
      </c>
      <c r="AH40" s="146" t="s">
        <v>334</v>
      </c>
      <c r="AI40" s="146" t="s">
        <v>342</v>
      </c>
      <c r="AJ40" s="132" t="s">
        <v>346</v>
      </c>
      <c r="AK40" s="133" t="s">
        <v>41</v>
      </c>
    </row>
    <row r="41" spans="1:69" ht="75.75" x14ac:dyDescent="0.3">
      <c r="A41" s="236"/>
      <c r="B41" s="248"/>
      <c r="C41" s="226"/>
      <c r="D41" s="309"/>
      <c r="E41" s="309"/>
      <c r="F41" s="224"/>
      <c r="G41" s="226"/>
      <c r="H41" s="228"/>
      <c r="I41" s="230"/>
      <c r="J41" s="232"/>
      <c r="K41" s="234"/>
      <c r="L41" s="232">
        <f>IF(NOT(ISERROR(MATCH(K41,_xlfn.ANCHORARRAY(#REF!),0))),#REF!&amp;"Por favor no seleccionar los criterios de impacto",K41)</f>
        <v>0</v>
      </c>
      <c r="M41" s="230"/>
      <c r="N41" s="232"/>
      <c r="O41" s="215"/>
      <c r="P41" s="122">
        <v>2</v>
      </c>
      <c r="Q41" s="140" t="s">
        <v>306</v>
      </c>
      <c r="R41" s="124" t="str">
        <f t="shared" si="16"/>
        <v>Probabilidad</v>
      </c>
      <c r="S41" s="125" t="s">
        <v>14</v>
      </c>
      <c r="T41" s="125" t="s">
        <v>9</v>
      </c>
      <c r="U41" s="126" t="str">
        <f t="shared" ref="U41:U72" si="17">IF(AND(S41="Preventivo",T41="Automático"),"50%",IF(AND(S41="Preventivo",T41="Manual"),"40%",IF(AND(S41="Detectivo",T41="Automático"),"40%",IF(AND(S41="Detectivo",T41="Manual"),"30%",IF(AND(S41="Correctivo",T41="Automático"),"35%",IF(AND(S41="Correctivo",T41="Manual"),"25%",""))))))</f>
        <v>40%</v>
      </c>
      <c r="V41" s="143" t="s">
        <v>19</v>
      </c>
      <c r="W41" s="143" t="s">
        <v>22</v>
      </c>
      <c r="X41" s="143" t="s">
        <v>118</v>
      </c>
      <c r="Y41" s="127">
        <f>IFERROR(IF(AND(R40="Probabilidad",R41="Probabilidad"),(AA40-(+AA40*U41)),IF(R41="Probabilidad",(J40-(+J40*U41)),IF(R41="Impacto",AA40,""))),"")</f>
        <v>0.216</v>
      </c>
      <c r="Z41" s="128" t="str">
        <f t="shared" ref="Z41:Z82" si="18">IFERROR(IF(Y41="","",IF(Y41&lt;=0.2,"Muy Baja",IF(Y41&lt;=0.4,"Baja",IF(Y41&lt;=0.6,"Media",IF(Y41&lt;=0.8,"Alta","Muy Alta"))))),"")</f>
        <v>Baja</v>
      </c>
      <c r="AA41" s="129">
        <f t="shared" ref="AA41:AA82" si="19">+Y41</f>
        <v>0.216</v>
      </c>
      <c r="AB41" s="128" t="str">
        <f t="shared" ref="AB41:AB82" si="20">IFERROR(IF(AC41="","",IF(AC41&lt;=0.2,"Leve",IF(AC41&lt;=0.4,"Menor",IF(AC41&lt;=0.6,"Moderado",IF(AC41&lt;=0.8,"Mayor","Catastrófico"))))),"")</f>
        <v>Mayor</v>
      </c>
      <c r="AC41" s="129">
        <f>IFERROR(IF(AND(R40="Impacto",R41="Impacto"),(AC40-(+AC40*U41)),IF(R41="Impacto",(N40-(+N40*U41)),IF(R41="Probabilidad",AC40,""))),"")</f>
        <v>0.8</v>
      </c>
      <c r="AD41" s="130" t="str">
        <f t="shared" ref="AD41:AD72" si="21">IFERROR(IF(OR(AND(Z41="Muy Baja",AB41="Leve"),AND(Z41="Muy Baja",AB41="Menor"),AND(Z41="Baja",AB41="Leve")),"Bajo",IF(OR(AND(Z41="Muy baja",AB41="Moderado"),AND(Z41="Baja",AB41="Menor"),AND(Z41="Baja",AB41="Moderado"),AND(Z41="Media",AB41="Leve"),AND(Z41="Media",AB41="Menor"),AND(Z41="Media",AB41="Moderado"),AND(Z41="Alta",AB41="Leve"),AND(Z41="Alta",AB41="Menor")),"Moderado",IF(OR(AND(Z41="Muy Baja",AB41="Mayor"),AND(Z41="Baja",AB41="Mayor"),AND(Z41="Media",AB41="Mayor"),AND(Z41="Alta",AB41="Moderado"),AND(Z41="Alta",AB41="Mayor"),AND(Z41="Muy Alta",AB41="Leve"),AND(Z41="Muy Alta",AB41="Menor"),AND(Z41="Muy Alta",AB41="Moderado"),AND(Z41="Muy Alta",AB41="Mayor")),"Alto",IF(OR(AND(Z41="Muy Baja",AB41="Catastrófico"),AND(Z41="Baja",AB41="Catastrófico"),AND(Z41="Media",AB41="Catastrófico"),AND(Z41="Alta",AB41="Catastrófico"),AND(Z41="Muy Alta",AB41="Catastrófico")),"Extremo","")))),"")</f>
        <v>Alto</v>
      </c>
      <c r="AE41" s="144" t="s">
        <v>135</v>
      </c>
      <c r="AF41" s="132" t="s">
        <v>319</v>
      </c>
      <c r="AG41" s="145" t="s">
        <v>331</v>
      </c>
      <c r="AH41" s="146" t="s">
        <v>335</v>
      </c>
      <c r="AI41" s="146" t="s">
        <v>342</v>
      </c>
      <c r="AJ41" s="132" t="s">
        <v>346</v>
      </c>
      <c r="AK41" s="133" t="s">
        <v>41</v>
      </c>
    </row>
    <row r="42" spans="1:69" ht="75.75" x14ac:dyDescent="0.3">
      <c r="A42" s="236"/>
      <c r="B42" s="248"/>
      <c r="C42" s="226"/>
      <c r="D42" s="309"/>
      <c r="E42" s="309"/>
      <c r="F42" s="224"/>
      <c r="G42" s="226"/>
      <c r="H42" s="228"/>
      <c r="I42" s="230"/>
      <c r="J42" s="232"/>
      <c r="K42" s="234"/>
      <c r="L42" s="232">
        <f>IF(NOT(ISERROR(MATCH(K42,_xlfn.ANCHORARRAY(#REF!),0))),#REF!&amp;"Por favor no seleccionar los criterios de impacto",K42)</f>
        <v>0</v>
      </c>
      <c r="M42" s="230"/>
      <c r="N42" s="232"/>
      <c r="O42" s="215"/>
      <c r="P42" s="122">
        <v>3</v>
      </c>
      <c r="Q42" s="140" t="s">
        <v>307</v>
      </c>
      <c r="R42" s="124" t="str">
        <f t="shared" si="16"/>
        <v>Probabilidad</v>
      </c>
      <c r="S42" s="125" t="s">
        <v>15</v>
      </c>
      <c r="T42" s="125" t="s">
        <v>9</v>
      </c>
      <c r="U42" s="126" t="str">
        <f t="shared" si="17"/>
        <v>30%</v>
      </c>
      <c r="V42" s="143" t="s">
        <v>19</v>
      </c>
      <c r="W42" s="143" t="s">
        <v>22</v>
      </c>
      <c r="X42" s="143" t="s">
        <v>118</v>
      </c>
      <c r="Y42" s="127">
        <f>IFERROR(IF(AND(R41="Probabilidad",R42="Probabilidad"),(AA41-(+AA41*U42)),IF(AND(R41="Impacto",R42="Probabilidad"),(AA40-(+AA40*U42)),IF(R42="Impacto",AA41,""))),"")</f>
        <v>0.1512</v>
      </c>
      <c r="Z42" s="128" t="str">
        <f t="shared" si="18"/>
        <v>Muy Baja</v>
      </c>
      <c r="AA42" s="129">
        <f t="shared" si="19"/>
        <v>0.1512</v>
      </c>
      <c r="AB42" s="128" t="str">
        <f t="shared" si="20"/>
        <v>Mayor</v>
      </c>
      <c r="AC42" s="129">
        <f>IFERROR(IF(AND(R41="Impacto",R42="Impacto"),(AC41-(+AC41*U42)),IF(AND(R41="Probabilidad",R42="Impacto"),(AC40-(+AC40*U42)),IF(R42="Probabilidad",AC41,""))),"")</f>
        <v>0.8</v>
      </c>
      <c r="AD42" s="130" t="str">
        <f t="shared" si="21"/>
        <v>Alto</v>
      </c>
      <c r="AE42" s="144" t="s">
        <v>135</v>
      </c>
      <c r="AF42" s="132" t="s">
        <v>320</v>
      </c>
      <c r="AG42" s="145" t="s">
        <v>331</v>
      </c>
      <c r="AH42" s="146" t="s">
        <v>336</v>
      </c>
      <c r="AI42" s="146" t="s">
        <v>342</v>
      </c>
      <c r="AJ42" s="132" t="s">
        <v>346</v>
      </c>
      <c r="AK42" s="133" t="s">
        <v>41</v>
      </c>
    </row>
    <row r="43" spans="1:69" ht="69" customHeight="1" x14ac:dyDescent="0.3">
      <c r="A43" s="236"/>
      <c r="B43" s="248"/>
      <c r="C43" s="226"/>
      <c r="D43" s="309"/>
      <c r="E43" s="309"/>
      <c r="F43" s="224"/>
      <c r="G43" s="226"/>
      <c r="H43" s="228"/>
      <c r="I43" s="230"/>
      <c r="J43" s="232"/>
      <c r="K43" s="234"/>
      <c r="L43" s="232">
        <f>IF(NOT(ISERROR(MATCH(K43,_xlfn.ANCHORARRAY(#REF!),0))),#REF!&amp;"Por favor no seleccionar los criterios de impacto",K43)</f>
        <v>0</v>
      </c>
      <c r="M43" s="230"/>
      <c r="N43" s="232"/>
      <c r="O43" s="215"/>
      <c r="P43" s="122">
        <v>4</v>
      </c>
      <c r="Q43" s="140" t="s">
        <v>308</v>
      </c>
      <c r="R43" s="124" t="str">
        <f t="shared" si="16"/>
        <v>Probabilidad</v>
      </c>
      <c r="S43" s="125" t="s">
        <v>14</v>
      </c>
      <c r="T43" s="125" t="s">
        <v>9</v>
      </c>
      <c r="U43" s="126" t="str">
        <f t="shared" si="17"/>
        <v>40%</v>
      </c>
      <c r="V43" s="143" t="s">
        <v>19</v>
      </c>
      <c r="W43" s="143" t="s">
        <v>22</v>
      </c>
      <c r="X43" s="143" t="s">
        <v>118</v>
      </c>
      <c r="Y43" s="127">
        <f>IFERROR(IF(AND(R42="Probabilidad",R43="Probabilidad"),(AA42-(+AA42*U43)),IF(AND(R42="Impacto",R43="Probabilidad"),(AA41-(+AA41*U43)),IF(R43="Impacto",AA42,""))),"")</f>
        <v>9.0719999999999995E-2</v>
      </c>
      <c r="Z43" s="128" t="str">
        <f t="shared" si="18"/>
        <v>Muy Baja</v>
      </c>
      <c r="AA43" s="129">
        <f t="shared" si="19"/>
        <v>9.0719999999999995E-2</v>
      </c>
      <c r="AB43" s="128" t="str">
        <f t="shared" si="20"/>
        <v>Mayor</v>
      </c>
      <c r="AC43" s="129">
        <f>IFERROR(IF(AND(R42="Impacto",R43="Impacto"),(AC42-(+AC42*U43)),IF(AND(R42="Probabilidad",R43="Impacto"),(AC41-(+AC41*U43)),IF(R43="Probabilidad",AC42,""))),"")</f>
        <v>0.8</v>
      </c>
      <c r="AD43" s="130" t="str">
        <f t="shared" si="21"/>
        <v>Alto</v>
      </c>
      <c r="AE43" s="144" t="s">
        <v>135</v>
      </c>
      <c r="AF43" s="132" t="s">
        <v>321</v>
      </c>
      <c r="AG43" s="145" t="s">
        <v>331</v>
      </c>
      <c r="AH43" s="146" t="s">
        <v>337</v>
      </c>
      <c r="AI43" s="146" t="s">
        <v>342</v>
      </c>
      <c r="AJ43" s="132" t="s">
        <v>346</v>
      </c>
      <c r="AK43" s="133" t="s">
        <v>41</v>
      </c>
    </row>
    <row r="44" spans="1:69" ht="45.75" hidden="1" customHeight="1" x14ac:dyDescent="0.3">
      <c r="A44" s="236"/>
      <c r="B44" s="248"/>
      <c r="C44" s="226"/>
      <c r="D44" s="309"/>
      <c r="E44" s="309"/>
      <c r="F44" s="224"/>
      <c r="G44" s="226"/>
      <c r="H44" s="228"/>
      <c r="I44" s="230"/>
      <c r="J44" s="232"/>
      <c r="K44" s="234"/>
      <c r="L44" s="232">
        <f>IF(NOT(ISERROR(MATCH(K44,_xlfn.ANCHORARRAY(#REF!),0))),#REF!&amp;"Por favor no seleccionar los criterios de impacto",K44)</f>
        <v>0</v>
      </c>
      <c r="M44" s="230"/>
      <c r="N44" s="232"/>
      <c r="O44" s="215"/>
      <c r="P44" s="122">
        <v>5</v>
      </c>
      <c r="Q44" s="140" t="s">
        <v>309</v>
      </c>
      <c r="R44" s="124" t="str">
        <f t="shared" si="16"/>
        <v>Probabilidad</v>
      </c>
      <c r="S44" s="125" t="s">
        <v>15</v>
      </c>
      <c r="T44" s="125" t="s">
        <v>9</v>
      </c>
      <c r="U44" s="126" t="str">
        <f t="shared" si="17"/>
        <v>30%</v>
      </c>
      <c r="V44" s="143" t="s">
        <v>19</v>
      </c>
      <c r="W44" s="143" t="s">
        <v>22</v>
      </c>
      <c r="X44" s="143" t="s">
        <v>118</v>
      </c>
      <c r="Y44" s="136">
        <f>IFERROR(IF(AND(R43="Probabilidad",R44="Probabilidad"),(AA43-(+AA43*U44)),IF(AND(R43="Impacto",R44="Probabilidad"),(AA42-(+AA42*U44)),IF(R44="Impacto",AA43,""))),"")</f>
        <v>6.3504000000000005E-2</v>
      </c>
      <c r="Z44" s="128" t="str">
        <f t="shared" si="18"/>
        <v>Muy Baja</v>
      </c>
      <c r="AA44" s="129">
        <f t="shared" si="19"/>
        <v>6.3504000000000005E-2</v>
      </c>
      <c r="AB44" s="128" t="str">
        <f t="shared" si="20"/>
        <v>Mayor</v>
      </c>
      <c r="AC44" s="129">
        <f>IFERROR(IF(AND(R43="Impacto",R44="Impacto"),(AC43-(+AC43*U44)),IF(AND(R43="Probabilidad",R44="Impacto"),(AC42-(+AC42*U44)),IF(R44="Probabilidad",AC43,""))),"")</f>
        <v>0.8</v>
      </c>
      <c r="AD44" s="130" t="str">
        <f t="shared" si="21"/>
        <v>Alto</v>
      </c>
      <c r="AE44" s="144" t="s">
        <v>135</v>
      </c>
      <c r="AF44" s="132" t="s">
        <v>322</v>
      </c>
      <c r="AG44" s="145" t="s">
        <v>331</v>
      </c>
      <c r="AH44" s="146" t="s">
        <v>338</v>
      </c>
      <c r="AI44" s="146" t="s">
        <v>342</v>
      </c>
      <c r="AJ44" s="132" t="s">
        <v>346</v>
      </c>
      <c r="AK44" s="133" t="s">
        <v>41</v>
      </c>
    </row>
    <row r="45" spans="1:69" ht="75.75" hidden="1" x14ac:dyDescent="0.3">
      <c r="A45" s="237"/>
      <c r="B45" s="248"/>
      <c r="C45" s="252"/>
      <c r="D45" s="309"/>
      <c r="E45" s="309"/>
      <c r="F45" s="255"/>
      <c r="G45" s="252"/>
      <c r="H45" s="256"/>
      <c r="I45" s="257"/>
      <c r="J45" s="259"/>
      <c r="K45" s="258"/>
      <c r="L45" s="259">
        <f>IF(NOT(ISERROR(MATCH(K45,_xlfn.ANCHORARRAY(#REF!),0))),#REF!&amp;"Por favor no seleccionar los criterios de impacto",K45)</f>
        <v>0</v>
      </c>
      <c r="M45" s="257"/>
      <c r="N45" s="259"/>
      <c r="O45" s="266"/>
      <c r="P45" s="122">
        <v>6</v>
      </c>
      <c r="Q45" s="140" t="s">
        <v>310</v>
      </c>
      <c r="R45" s="124" t="str">
        <f t="shared" si="16"/>
        <v>Probabilidad</v>
      </c>
      <c r="S45" s="125" t="s">
        <v>14</v>
      </c>
      <c r="T45" s="125" t="s">
        <v>9</v>
      </c>
      <c r="U45" s="126" t="str">
        <f t="shared" si="17"/>
        <v>40%</v>
      </c>
      <c r="V45" s="143" t="s">
        <v>19</v>
      </c>
      <c r="W45" s="143" t="s">
        <v>22</v>
      </c>
      <c r="X45" s="143" t="s">
        <v>118</v>
      </c>
      <c r="Y45" s="127">
        <f>IFERROR(IF(AND(R44="Probabilidad",R45="Probabilidad"),(AA44-(+AA44*U45)),IF(AND(R44="Impacto",R45="Probabilidad"),(AA43-(+AA43*U45)),IF(R45="Impacto",AA44,""))),"")</f>
        <v>3.8102400000000002E-2</v>
      </c>
      <c r="Z45" s="128" t="str">
        <f t="shared" si="18"/>
        <v>Muy Baja</v>
      </c>
      <c r="AA45" s="129">
        <f t="shared" si="19"/>
        <v>3.8102400000000002E-2</v>
      </c>
      <c r="AB45" s="128" t="str">
        <f t="shared" si="20"/>
        <v>Mayor</v>
      </c>
      <c r="AC45" s="129">
        <f>IFERROR(IF(AND(R44="Impacto",R45="Impacto"),(AC44-(+AC44*U45)),IF(AND(R44="Probabilidad",R45="Impacto"),(AC43-(+AC43*U45)),IF(R45="Probabilidad",AC44,""))),"")</f>
        <v>0.8</v>
      </c>
      <c r="AD45" s="130" t="str">
        <f t="shared" si="21"/>
        <v>Alto</v>
      </c>
      <c r="AE45" s="144" t="s">
        <v>135</v>
      </c>
      <c r="AF45" s="132" t="s">
        <v>323</v>
      </c>
      <c r="AG45" s="145" t="s">
        <v>331</v>
      </c>
      <c r="AH45" s="146" t="s">
        <v>339</v>
      </c>
      <c r="AI45" s="146" t="s">
        <v>342</v>
      </c>
      <c r="AJ45" s="132" t="s">
        <v>346</v>
      </c>
      <c r="AK45" s="133" t="s">
        <v>41</v>
      </c>
    </row>
    <row r="46" spans="1:69" ht="75.75" x14ac:dyDescent="0.3">
      <c r="A46" s="235">
        <v>14</v>
      </c>
      <c r="B46" s="248"/>
      <c r="C46" s="225" t="s">
        <v>131</v>
      </c>
      <c r="D46" s="309"/>
      <c r="E46" s="309"/>
      <c r="F46" s="223" t="s">
        <v>237</v>
      </c>
      <c r="G46" s="225" t="s">
        <v>122</v>
      </c>
      <c r="H46" s="227">
        <v>20</v>
      </c>
      <c r="I46" s="229" t="str">
        <f>IF(H46&lt;=0,"",IF(H46&lt;=2,"Muy Baja",IF(H46&lt;=15,"Baja",IF(H46&lt;=100,"Media",IF(H46&lt;=1000,"Alta","Muy Alta")))))</f>
        <v>Media</v>
      </c>
      <c r="J46" s="231">
        <v>0.6</v>
      </c>
      <c r="K46" s="233" t="s">
        <v>152</v>
      </c>
      <c r="L46" s="231" t="str">
        <f>IF(NOT(ISERROR(MATCH(K46,'Tabla Impacto'!$B$221:$B$223,0))),'Tabla Impacto'!$F$223&amp;"Por favor no seleccionar los criterios de impacto(Afectación Económica o presupuestal y Pérdida Reputacional)",K46)</f>
        <v xml:space="preserve">     El riesgo afecta la imagen de alguna área de la organización</v>
      </c>
      <c r="M46" s="229" t="str">
        <f>IF(OR(L46='Tabla Impacto'!$C$11,L46='Tabla Impacto'!$D$11),"Leve",IF(OR(L46='Tabla Impacto'!$C$12,L46='Tabla Impacto'!$D$12),"Menor",IF(OR(L46='Tabla Impacto'!$C$13,L46='Tabla Impacto'!$D$13),"Moderado",IF(OR(L46='Tabla Impacto'!$C$14,L46='Tabla Impacto'!$D$14),"Mayor",IF(OR(L46='Tabla Impacto'!$C$15,L46='Tabla Impacto'!$D$15),"Catastrófico","")))))</f>
        <v>Leve</v>
      </c>
      <c r="N46" s="231">
        <f>IF(M46="","",IF(M46="Leve",0.2,IF(M46="Menor",0.4,IF(M46="Moderado",0.6,IF(M46="Mayor",0.8,IF(M46="Catastrófico",1,))))))</f>
        <v>0.2</v>
      </c>
      <c r="O46" s="214" t="str">
        <f>IF(OR(AND(I46="Muy Baja",M46="Leve"),AND(I46="Muy Baja",M46="Menor"),AND(I46="Baja",M46="Leve")),"Bajo",IF(OR(AND(I46="Muy baja",M46="Moderado"),AND(I46="Baja",M46="Menor"),AND(I46="Baja",M46="Moderado"),AND(I46="Media",M46="Leve"),AND(I46="Media",M46="Menor"),AND(I46="Media",M46="Moderado"),AND(I46="Alta",M46="Leve"),AND(I46="Alta",M46="Menor")),"Moderado",IF(OR(AND(I46="Muy Baja",M46="Mayor"),AND(I46="Baja",M46="Mayor"),AND(I46="Media",M46="Mayor"),AND(I46="Alta",M46="Moderado"),AND(I46="Alta",M46="Mayor"),AND(I46="Muy Alta",M46="Leve"),AND(I46="Muy Alta",M46="Menor"),AND(I46="Muy Alta",M46="Moderado"),AND(I46="Muy Alta",M46="Mayor")),"Alto",IF(OR(AND(I46="Muy Baja",M46="Catastrófico"),AND(I46="Baja",M46="Catastrófico"),AND(I46="Media",M46="Catastrófico"),AND(I46="Alta",M46="Catastrófico"),AND(I46="Muy Alta",M46="Catastrófico")),"Extremo",""))))</f>
        <v>Moderado</v>
      </c>
      <c r="P46" s="122">
        <v>1</v>
      </c>
      <c r="Q46" s="123" t="s">
        <v>311</v>
      </c>
      <c r="R46" s="124" t="str">
        <f t="shared" si="16"/>
        <v>Probabilidad</v>
      </c>
      <c r="S46" s="125" t="s">
        <v>14</v>
      </c>
      <c r="T46" s="125" t="s">
        <v>9</v>
      </c>
      <c r="U46" s="126" t="str">
        <f t="shared" si="17"/>
        <v>40%</v>
      </c>
      <c r="V46" s="143" t="s">
        <v>19</v>
      </c>
      <c r="W46" s="143" t="s">
        <v>23</v>
      </c>
      <c r="X46" s="143" t="s">
        <v>118</v>
      </c>
      <c r="Y46" s="127">
        <f>IFERROR(IF(R46="Probabilidad",(J46-(+J46*U46)),IF(R46="Impacto",J46,"")),"")</f>
        <v>0.36</v>
      </c>
      <c r="Z46" s="128" t="str">
        <f t="shared" si="18"/>
        <v>Baja</v>
      </c>
      <c r="AA46" s="129">
        <f t="shared" si="19"/>
        <v>0.36</v>
      </c>
      <c r="AB46" s="128" t="str">
        <f t="shared" si="20"/>
        <v>Leve</v>
      </c>
      <c r="AC46" s="129">
        <f>IFERROR(IF(R46="Impacto",(N46-(+N46*U46)),IF(R46="Probabilidad",N46,"")),"")</f>
        <v>0.2</v>
      </c>
      <c r="AD46" s="130" t="str">
        <f t="shared" si="21"/>
        <v>Bajo</v>
      </c>
      <c r="AE46" s="144" t="s">
        <v>135</v>
      </c>
      <c r="AF46" s="132" t="s">
        <v>324</v>
      </c>
      <c r="AG46" s="133" t="s">
        <v>332</v>
      </c>
      <c r="AH46" s="134" t="s">
        <v>340</v>
      </c>
      <c r="AI46" s="134" t="s">
        <v>340</v>
      </c>
      <c r="AJ46" s="132" t="s">
        <v>294</v>
      </c>
      <c r="AK46" s="133" t="s">
        <v>41</v>
      </c>
    </row>
    <row r="47" spans="1:69" ht="75.75" x14ac:dyDescent="0.3">
      <c r="A47" s="236"/>
      <c r="B47" s="248"/>
      <c r="C47" s="226"/>
      <c r="D47" s="309"/>
      <c r="E47" s="309"/>
      <c r="F47" s="224"/>
      <c r="G47" s="226"/>
      <c r="H47" s="228"/>
      <c r="I47" s="230"/>
      <c r="J47" s="232"/>
      <c r="K47" s="234"/>
      <c r="L47" s="232">
        <f>IF(NOT(ISERROR(MATCH(K47,_xlfn.ANCHORARRAY(#REF!),0))),#REF!&amp;"Por favor no seleccionar los criterios de impacto",K47)</f>
        <v>0</v>
      </c>
      <c r="M47" s="230"/>
      <c r="N47" s="232"/>
      <c r="O47" s="215"/>
      <c r="P47" s="122">
        <v>2</v>
      </c>
      <c r="Q47" s="123" t="s">
        <v>312</v>
      </c>
      <c r="R47" s="124" t="str">
        <f t="shared" si="16"/>
        <v>Probabilidad</v>
      </c>
      <c r="S47" s="125" t="s">
        <v>14</v>
      </c>
      <c r="T47" s="125" t="s">
        <v>9</v>
      </c>
      <c r="U47" s="126" t="str">
        <f t="shared" si="17"/>
        <v>40%</v>
      </c>
      <c r="V47" s="143" t="s">
        <v>19</v>
      </c>
      <c r="W47" s="143" t="s">
        <v>23</v>
      </c>
      <c r="X47" s="143" t="s">
        <v>118</v>
      </c>
      <c r="Y47" s="127">
        <f>IFERROR(IF(AND(R46="Probabilidad",R47="Probabilidad"),(AA46-(+AA46*U47)),IF(R47="Probabilidad",(J46-(+J46*U47)),IF(R47="Impacto",AA46,""))),"")</f>
        <v>0.216</v>
      </c>
      <c r="Z47" s="128" t="str">
        <f t="shared" si="18"/>
        <v>Baja</v>
      </c>
      <c r="AA47" s="129">
        <f t="shared" si="19"/>
        <v>0.216</v>
      </c>
      <c r="AB47" s="128" t="str">
        <f t="shared" si="20"/>
        <v>Leve</v>
      </c>
      <c r="AC47" s="129">
        <f>IFERROR(IF(AND(R46="Impacto",R47="Impacto"),(AC46-(+AC46*U47)),IF(R47="Impacto",(N46-(+N46*U47)),IF(R47="Probabilidad",AC46,""))),"")</f>
        <v>0.2</v>
      </c>
      <c r="AD47" s="130" t="str">
        <f t="shared" si="21"/>
        <v>Bajo</v>
      </c>
      <c r="AE47" s="144" t="s">
        <v>135</v>
      </c>
      <c r="AF47" s="132" t="s">
        <v>325</v>
      </c>
      <c r="AG47" s="133" t="s">
        <v>332</v>
      </c>
      <c r="AH47" s="134" t="s">
        <v>340</v>
      </c>
      <c r="AI47" s="134" t="s">
        <v>340</v>
      </c>
      <c r="AJ47" s="132" t="s">
        <v>294</v>
      </c>
      <c r="AK47" s="133" t="s">
        <v>41</v>
      </c>
    </row>
    <row r="48" spans="1:69" ht="75.75" x14ac:dyDescent="0.3">
      <c r="A48" s="236"/>
      <c r="B48" s="248"/>
      <c r="C48" s="226"/>
      <c r="D48" s="309"/>
      <c r="E48" s="309"/>
      <c r="F48" s="224"/>
      <c r="G48" s="226"/>
      <c r="H48" s="228"/>
      <c r="I48" s="230"/>
      <c r="J48" s="232"/>
      <c r="K48" s="234"/>
      <c r="L48" s="232">
        <f>IF(NOT(ISERROR(MATCH(K48,_xlfn.ANCHORARRAY(#REF!),0))),#REF!&amp;"Por favor no seleccionar los criterios de impacto",K48)</f>
        <v>0</v>
      </c>
      <c r="M48" s="230"/>
      <c r="N48" s="232"/>
      <c r="O48" s="215"/>
      <c r="P48" s="122">
        <v>3</v>
      </c>
      <c r="Q48" s="123" t="s">
        <v>313</v>
      </c>
      <c r="R48" s="124" t="str">
        <f t="shared" si="16"/>
        <v>Probabilidad</v>
      </c>
      <c r="S48" s="125" t="s">
        <v>14</v>
      </c>
      <c r="T48" s="125" t="s">
        <v>9</v>
      </c>
      <c r="U48" s="126" t="str">
        <f t="shared" si="17"/>
        <v>40%</v>
      </c>
      <c r="V48" s="143" t="s">
        <v>19</v>
      </c>
      <c r="W48" s="143" t="s">
        <v>23</v>
      </c>
      <c r="X48" s="143" t="s">
        <v>118</v>
      </c>
      <c r="Y48" s="127">
        <f>IFERROR(IF(AND(R47="Probabilidad",R48="Probabilidad"),(AA47-(+AA47*U48)),IF(AND(R47="Impacto",R48="Probabilidad"),(AA46-(+AA46*U48)),IF(R48="Impacto",AA47,""))),"")</f>
        <v>0.12959999999999999</v>
      </c>
      <c r="Z48" s="128" t="str">
        <f t="shared" si="18"/>
        <v>Muy Baja</v>
      </c>
      <c r="AA48" s="129">
        <f t="shared" si="19"/>
        <v>0.12959999999999999</v>
      </c>
      <c r="AB48" s="128" t="str">
        <f t="shared" si="20"/>
        <v>Leve</v>
      </c>
      <c r="AC48" s="129">
        <f>IFERROR(IF(AND(R47="Impacto",R48="Impacto"),(AC47-(+AC47*U48)),IF(AND(R47="Probabilidad",R48="Impacto"),(AC46-(+AC46*U48)),IF(R48="Probabilidad",AC47,""))),"")</f>
        <v>0.2</v>
      </c>
      <c r="AD48" s="130" t="str">
        <f t="shared" si="21"/>
        <v>Bajo</v>
      </c>
      <c r="AE48" s="144" t="s">
        <v>135</v>
      </c>
      <c r="AF48" s="132" t="s">
        <v>326</v>
      </c>
      <c r="AG48" s="133" t="s">
        <v>332</v>
      </c>
      <c r="AH48" s="134" t="s">
        <v>340</v>
      </c>
      <c r="AI48" s="134" t="s">
        <v>340</v>
      </c>
      <c r="AJ48" s="132" t="s">
        <v>294</v>
      </c>
      <c r="AK48" s="133" t="s">
        <v>41</v>
      </c>
    </row>
    <row r="49" spans="1:37" ht="75.75" x14ac:dyDescent="0.3">
      <c r="A49" s="236"/>
      <c r="B49" s="248"/>
      <c r="C49" s="226"/>
      <c r="D49" s="309"/>
      <c r="E49" s="309"/>
      <c r="F49" s="224"/>
      <c r="G49" s="226"/>
      <c r="H49" s="228"/>
      <c r="I49" s="230"/>
      <c r="J49" s="232"/>
      <c r="K49" s="234"/>
      <c r="L49" s="232">
        <f>IF(NOT(ISERROR(MATCH(K49,_xlfn.ANCHORARRAY(#REF!),0))),#REF!&amp;"Por favor no seleccionar los criterios de impacto",K49)</f>
        <v>0</v>
      </c>
      <c r="M49" s="230"/>
      <c r="N49" s="232"/>
      <c r="O49" s="215"/>
      <c r="P49" s="122">
        <v>4</v>
      </c>
      <c r="Q49" s="123" t="s">
        <v>314</v>
      </c>
      <c r="R49" s="124" t="str">
        <f t="shared" si="16"/>
        <v>Probabilidad</v>
      </c>
      <c r="S49" s="125" t="s">
        <v>14</v>
      </c>
      <c r="T49" s="125" t="s">
        <v>9</v>
      </c>
      <c r="U49" s="126" t="str">
        <f t="shared" si="17"/>
        <v>40%</v>
      </c>
      <c r="V49" s="143" t="s">
        <v>19</v>
      </c>
      <c r="W49" s="143" t="s">
        <v>23</v>
      </c>
      <c r="X49" s="143" t="s">
        <v>118</v>
      </c>
      <c r="Y49" s="127">
        <f>IFERROR(IF(AND(R48="Probabilidad",R49="Probabilidad"),(AA48-(+AA48*U49)),IF(AND(R48="Impacto",R49="Probabilidad"),(AA47-(+AA47*U49)),IF(R49="Impacto",AA48,""))),"")</f>
        <v>7.7759999999999996E-2</v>
      </c>
      <c r="Z49" s="128" t="str">
        <f t="shared" si="18"/>
        <v>Muy Baja</v>
      </c>
      <c r="AA49" s="129">
        <f t="shared" si="19"/>
        <v>7.7759999999999996E-2</v>
      </c>
      <c r="AB49" s="128" t="str">
        <f t="shared" si="20"/>
        <v>Leve</v>
      </c>
      <c r="AC49" s="129">
        <f>IFERROR(IF(AND(R48="Impacto",R49="Impacto"),(AC48-(+AC48*U49)),IF(AND(R48="Probabilidad",R49="Impacto"),(AC47-(+AC47*U49)),IF(R49="Probabilidad",AC48,""))),"")</f>
        <v>0.2</v>
      </c>
      <c r="AD49" s="130" t="str">
        <f t="shared" si="21"/>
        <v>Bajo</v>
      </c>
      <c r="AE49" s="144" t="s">
        <v>135</v>
      </c>
      <c r="AF49" s="132" t="s">
        <v>327</v>
      </c>
      <c r="AG49" s="133" t="s">
        <v>332</v>
      </c>
      <c r="AH49" s="134" t="s">
        <v>340</v>
      </c>
      <c r="AI49" s="134" t="s">
        <v>340</v>
      </c>
      <c r="AJ49" s="132" t="s">
        <v>294</v>
      </c>
      <c r="AK49" s="133" t="s">
        <v>41</v>
      </c>
    </row>
    <row r="50" spans="1:37" ht="75.75" x14ac:dyDescent="0.3">
      <c r="A50" s="236"/>
      <c r="B50" s="248"/>
      <c r="C50" s="226"/>
      <c r="D50" s="309"/>
      <c r="E50" s="309"/>
      <c r="F50" s="224"/>
      <c r="G50" s="226"/>
      <c r="H50" s="228"/>
      <c r="I50" s="230"/>
      <c r="J50" s="232"/>
      <c r="K50" s="234"/>
      <c r="L50" s="232">
        <f>IF(NOT(ISERROR(MATCH(K50,_xlfn.ANCHORARRAY(#REF!),0))),#REF!&amp;"Por favor no seleccionar los criterios de impacto",K50)</f>
        <v>0</v>
      </c>
      <c r="M50" s="230"/>
      <c r="N50" s="232"/>
      <c r="O50" s="215"/>
      <c r="P50" s="122">
        <v>5</v>
      </c>
      <c r="Q50" s="123" t="s">
        <v>315</v>
      </c>
      <c r="R50" s="124" t="str">
        <f t="shared" si="16"/>
        <v>Probabilidad</v>
      </c>
      <c r="S50" s="125" t="s">
        <v>14</v>
      </c>
      <c r="T50" s="125" t="s">
        <v>9</v>
      </c>
      <c r="U50" s="126" t="str">
        <f t="shared" si="17"/>
        <v>40%</v>
      </c>
      <c r="V50" s="143" t="s">
        <v>19</v>
      </c>
      <c r="W50" s="143" t="s">
        <v>23</v>
      </c>
      <c r="X50" s="143" t="s">
        <v>118</v>
      </c>
      <c r="Y50" s="127">
        <f>IFERROR(IF(AND(R49="Probabilidad",R50="Probabilidad"),(AA49-(+AA49*U50)),IF(AND(R49="Impacto",R50="Probabilidad"),(AA48-(+AA48*U50)),IF(R50="Impacto",AA49,""))),"")</f>
        <v>4.6655999999999996E-2</v>
      </c>
      <c r="Z50" s="128" t="str">
        <f t="shared" si="18"/>
        <v>Muy Baja</v>
      </c>
      <c r="AA50" s="129">
        <f t="shared" si="19"/>
        <v>4.6655999999999996E-2</v>
      </c>
      <c r="AB50" s="128" t="str">
        <f t="shared" si="20"/>
        <v>Leve</v>
      </c>
      <c r="AC50" s="129">
        <f>IFERROR(IF(AND(R49="Impacto",R50="Impacto"),(AC49-(+AC49*U50)),IF(AND(R49="Probabilidad",R50="Impacto"),(AC48-(+AC48*U50)),IF(R50="Probabilidad",AC49,""))),"")</f>
        <v>0.2</v>
      </c>
      <c r="AD50" s="130" t="str">
        <f t="shared" si="21"/>
        <v>Bajo</v>
      </c>
      <c r="AE50" s="144" t="s">
        <v>135</v>
      </c>
      <c r="AF50" s="132" t="s">
        <v>328</v>
      </c>
      <c r="AG50" s="133" t="s">
        <v>332</v>
      </c>
      <c r="AH50" s="134" t="s">
        <v>340</v>
      </c>
      <c r="AI50" s="134" t="s">
        <v>340</v>
      </c>
      <c r="AJ50" s="132" t="s">
        <v>294</v>
      </c>
      <c r="AK50" s="133" t="s">
        <v>41</v>
      </c>
    </row>
    <row r="51" spans="1:37" ht="75.75" x14ac:dyDescent="0.3">
      <c r="A51" s="235">
        <v>15</v>
      </c>
      <c r="B51" s="248"/>
      <c r="C51" s="225" t="s">
        <v>131</v>
      </c>
      <c r="D51" s="309"/>
      <c r="E51" s="225" t="s">
        <v>238</v>
      </c>
      <c r="F51" s="223" t="s">
        <v>241</v>
      </c>
      <c r="G51" s="225" t="s">
        <v>125</v>
      </c>
      <c r="H51" s="227">
        <v>520</v>
      </c>
      <c r="I51" s="229" t="str">
        <f>IF(H51&lt;=0,"",IF(H51&lt;=2,"Muy Baja",IF(H51&lt;=15,"Baja",IF(H51&lt;=100,"Media",IF(H51&lt;=1000,"Alta","Muy Alta")))))</f>
        <v>Alta</v>
      </c>
      <c r="J51" s="231">
        <v>0.8</v>
      </c>
      <c r="K51" s="233" t="s">
        <v>154</v>
      </c>
      <c r="L51" s="231" t="str">
        <f>IF(NOT(ISERROR(MATCH(K51,'Tabla Impacto'!$B$221:$B$223,0))),'Tabla Impacto'!$F$223&amp;"Por favor no seleccionar los criterios de impacto(Afectación Económica o presupuestal y Pérdida Reputacional)",K51)</f>
        <v xml:space="preserve">     El riesgo afecta la imagen de la entidad con algunos usuarios de relevancia frente al logro de los objetivos</v>
      </c>
      <c r="M51" s="229" t="str">
        <f>IF(OR(L51='Tabla Impacto'!$C$11,L51='Tabla Impacto'!$D$11),"Leve",IF(OR(L51='Tabla Impacto'!$C$12,L51='Tabla Impacto'!$D$12),"Menor",IF(OR(L51='Tabla Impacto'!$C$13,L51='Tabla Impacto'!$D$13),"Moderado",IF(OR(L51='Tabla Impacto'!$C$14,L51='Tabla Impacto'!$D$14),"Mayor",IF(OR(L51='Tabla Impacto'!$C$15,L51='Tabla Impacto'!$D$15),"Catastrófico","")))))</f>
        <v>Moderado</v>
      </c>
      <c r="N51" s="231">
        <f>IF(M51="","",IF(M51="Leve",0.2,IF(M51="Menor",0.4,IF(M51="Moderado",0.6,IF(M51="Mayor",0.8,IF(M51="Catastrófico",1,))))))</f>
        <v>0.6</v>
      </c>
      <c r="O51" s="214" t="str">
        <f>IF(OR(AND(I51="Muy Baja",M51="Leve"),AND(I51="Muy Baja",M51="Menor"),AND(I51="Baja",M51="Leve")),"Bajo",IF(OR(AND(I51="Muy baja",M51="Moderado"),AND(I51="Baja",M51="Menor"),AND(I51="Baja",M51="Moderado"),AND(I51="Media",M51="Leve"),AND(I51="Media",M51="Menor"),AND(I51="Media",M51="Moderado"),AND(I51="Alta",M51="Leve"),AND(I51="Alta",M51="Menor")),"Moderado",IF(OR(AND(I51="Muy Baja",M51="Mayor"),AND(I51="Baja",M51="Mayor"),AND(I51="Media",M51="Mayor"),AND(I51="Alta",M51="Moderado"),AND(I51="Alta",M51="Mayor"),AND(I51="Muy Alta",M51="Leve"),AND(I51="Muy Alta",M51="Menor"),AND(I51="Muy Alta",M51="Moderado"),AND(I51="Muy Alta",M51="Mayor")),"Alto",IF(OR(AND(I51="Muy Baja",M51="Catastrófico"),AND(I51="Baja",M51="Catastrófico"),AND(I51="Media",M51="Catastrófico"),AND(I51="Alta",M51="Catastrófico"),AND(I51="Muy Alta",M51="Catastrófico")),"Extremo",""))))</f>
        <v>Alto</v>
      </c>
      <c r="P51" s="122">
        <v>1</v>
      </c>
      <c r="Q51" s="123" t="s">
        <v>316</v>
      </c>
      <c r="R51" s="124" t="str">
        <f t="shared" si="16"/>
        <v>Impacto</v>
      </c>
      <c r="S51" s="125" t="s">
        <v>16</v>
      </c>
      <c r="T51" s="125" t="s">
        <v>9</v>
      </c>
      <c r="U51" s="126" t="str">
        <f t="shared" si="17"/>
        <v>25%</v>
      </c>
      <c r="V51" s="142" t="s">
        <v>19</v>
      </c>
      <c r="W51" s="125" t="s">
        <v>23</v>
      </c>
      <c r="X51" s="125" t="s">
        <v>118</v>
      </c>
      <c r="Y51" s="127">
        <f>IFERROR(IF(R51="Probabilidad",(J51-(+J51*U51)),IF(R51="Impacto",J51,"")),"")</f>
        <v>0.8</v>
      </c>
      <c r="Z51" s="141" t="str">
        <f t="shared" si="18"/>
        <v>Alta</v>
      </c>
      <c r="AA51" s="129">
        <f t="shared" si="19"/>
        <v>0.8</v>
      </c>
      <c r="AB51" s="128" t="str">
        <f t="shared" si="20"/>
        <v>Moderado</v>
      </c>
      <c r="AC51" s="129">
        <f>IFERROR(IF(R51="Impacto",(N51-(+N51*U51)),IF(R51="Probabilidad",N51,"")),"")</f>
        <v>0.44999999999999996</v>
      </c>
      <c r="AD51" s="130" t="str">
        <f t="shared" si="21"/>
        <v>Alto</v>
      </c>
      <c r="AE51" s="144" t="s">
        <v>135</v>
      </c>
      <c r="AF51" s="132" t="s">
        <v>329</v>
      </c>
      <c r="AG51" s="133" t="s">
        <v>333</v>
      </c>
      <c r="AH51" s="134" t="s">
        <v>341</v>
      </c>
      <c r="AI51" s="134" t="s">
        <v>343</v>
      </c>
      <c r="AJ51" s="132" t="s">
        <v>345</v>
      </c>
      <c r="AK51" s="133" t="s">
        <v>41</v>
      </c>
    </row>
    <row r="52" spans="1:37" ht="75.75" x14ac:dyDescent="0.3">
      <c r="A52" s="236"/>
      <c r="B52" s="248"/>
      <c r="C52" s="226"/>
      <c r="D52" s="309"/>
      <c r="E52" s="226"/>
      <c r="F52" s="224"/>
      <c r="G52" s="226"/>
      <c r="H52" s="228"/>
      <c r="I52" s="230"/>
      <c r="J52" s="232"/>
      <c r="K52" s="234"/>
      <c r="L52" s="232">
        <f>IF(NOT(ISERROR(MATCH(K52,_xlfn.ANCHORARRAY(#REF!),0))),#REF!&amp;"Por favor no seleccionar los criterios de impacto",K52)</f>
        <v>0</v>
      </c>
      <c r="M52" s="230"/>
      <c r="N52" s="232"/>
      <c r="O52" s="215"/>
      <c r="P52" s="122">
        <v>2</v>
      </c>
      <c r="Q52" s="123" t="s">
        <v>473</v>
      </c>
      <c r="R52" s="124" t="str">
        <f t="shared" si="16"/>
        <v>Impacto</v>
      </c>
      <c r="S52" s="125" t="s">
        <v>16</v>
      </c>
      <c r="T52" s="125" t="s">
        <v>9</v>
      </c>
      <c r="U52" s="126" t="str">
        <f t="shared" si="17"/>
        <v>25%</v>
      </c>
      <c r="V52" s="142" t="s">
        <v>19</v>
      </c>
      <c r="W52" s="125" t="s">
        <v>23</v>
      </c>
      <c r="X52" s="125" t="s">
        <v>118</v>
      </c>
      <c r="Y52" s="127">
        <f>IFERROR(IF(AND(R51="Probabilidad",R52="Probabilidad"),(AA51-(+AA51*U52)),IF(R52="Probabilidad",(J51-(+J51*U52)),IF(R52="Impacto",AA51,""))),"")</f>
        <v>0.8</v>
      </c>
      <c r="Z52" s="141" t="str">
        <f t="shared" si="18"/>
        <v>Alta</v>
      </c>
      <c r="AA52" s="129">
        <f t="shared" si="19"/>
        <v>0.8</v>
      </c>
      <c r="AB52" s="128" t="str">
        <f t="shared" si="20"/>
        <v>Menor</v>
      </c>
      <c r="AC52" s="129">
        <f>IFERROR(IF(AND(R51="Impacto",R52="Impacto"),(AC51-(+AC51*U52)),IF(R52="Impacto",(N51-(+N51*U52)),IF(R52="Probabilidad",AC51,""))),"")</f>
        <v>0.33749999999999997</v>
      </c>
      <c r="AD52" s="130" t="str">
        <f t="shared" si="21"/>
        <v>Moderado</v>
      </c>
      <c r="AE52" s="144" t="s">
        <v>135</v>
      </c>
      <c r="AF52" s="132" t="s">
        <v>330</v>
      </c>
      <c r="AG52" s="133" t="s">
        <v>333</v>
      </c>
      <c r="AH52" s="134" t="s">
        <v>341</v>
      </c>
      <c r="AI52" s="134" t="s">
        <v>343</v>
      </c>
      <c r="AJ52" s="132" t="s">
        <v>345</v>
      </c>
      <c r="AK52" s="133" t="s">
        <v>41</v>
      </c>
    </row>
    <row r="53" spans="1:37" ht="75.75" x14ac:dyDescent="0.3">
      <c r="A53" s="236"/>
      <c r="B53" s="248"/>
      <c r="C53" s="226"/>
      <c r="D53" s="309"/>
      <c r="E53" s="226"/>
      <c r="F53" s="224"/>
      <c r="G53" s="226"/>
      <c r="H53" s="228"/>
      <c r="I53" s="230"/>
      <c r="J53" s="232"/>
      <c r="K53" s="234"/>
      <c r="L53" s="232">
        <f>IF(NOT(ISERROR(MATCH(K53,_xlfn.ANCHORARRAY(#REF!),0))),#REF!&amp;"Por favor no seleccionar los criterios de impacto",K53)</f>
        <v>0</v>
      </c>
      <c r="M53" s="230"/>
      <c r="N53" s="232"/>
      <c r="O53" s="215"/>
      <c r="P53" s="122">
        <v>3</v>
      </c>
      <c r="Q53" s="135" t="s">
        <v>317</v>
      </c>
      <c r="R53" s="124" t="str">
        <f t="shared" si="16"/>
        <v>Impacto</v>
      </c>
      <c r="S53" s="125" t="s">
        <v>16</v>
      </c>
      <c r="T53" s="125" t="s">
        <v>9</v>
      </c>
      <c r="U53" s="126" t="str">
        <f t="shared" si="17"/>
        <v>25%</v>
      </c>
      <c r="V53" s="142" t="s">
        <v>19</v>
      </c>
      <c r="W53" s="125" t="s">
        <v>23</v>
      </c>
      <c r="X53" s="125" t="s">
        <v>118</v>
      </c>
      <c r="Y53" s="127">
        <f>IFERROR(IF(AND(R52="Probabilidad",R53="Probabilidad"),(AA52-(+AA52*U53)),IF(AND(R52="Impacto",R53="Probabilidad"),(AA51-(+AA51*U53)),IF(R53="Impacto",AA52,""))),"")</f>
        <v>0.8</v>
      </c>
      <c r="Z53" s="141" t="str">
        <f t="shared" si="18"/>
        <v>Alta</v>
      </c>
      <c r="AA53" s="129">
        <f t="shared" si="19"/>
        <v>0.8</v>
      </c>
      <c r="AB53" s="128" t="str">
        <f t="shared" si="20"/>
        <v>Menor</v>
      </c>
      <c r="AC53" s="129">
        <f>IFERROR(IF(AND(R52="Impacto",R53="Impacto"),(AC52-(+AC52*U53)),IF(AND(R52="Probabilidad",R53="Impacto"),(AC51-(+AC51*U53)),IF(R53="Probabilidad",AC52,""))),"")</f>
        <v>0.25312499999999999</v>
      </c>
      <c r="AD53" s="130" t="str">
        <f t="shared" si="21"/>
        <v>Moderado</v>
      </c>
      <c r="AE53" s="144" t="s">
        <v>135</v>
      </c>
      <c r="AF53" s="132" t="s">
        <v>330</v>
      </c>
      <c r="AG53" s="133" t="s">
        <v>333</v>
      </c>
      <c r="AH53" s="134" t="s">
        <v>341</v>
      </c>
      <c r="AI53" s="134" t="s">
        <v>344</v>
      </c>
      <c r="AJ53" s="132" t="s">
        <v>345</v>
      </c>
      <c r="AK53" s="133" t="s">
        <v>41</v>
      </c>
    </row>
    <row r="54" spans="1:37" ht="75.75" x14ac:dyDescent="0.3">
      <c r="A54" s="235">
        <v>16</v>
      </c>
      <c r="B54" s="249" t="s">
        <v>254</v>
      </c>
      <c r="C54" s="225" t="s">
        <v>133</v>
      </c>
      <c r="D54" s="225" t="s">
        <v>239</v>
      </c>
      <c r="E54" s="225" t="s">
        <v>240</v>
      </c>
      <c r="F54" s="223" t="s">
        <v>242</v>
      </c>
      <c r="G54" s="225" t="s">
        <v>125</v>
      </c>
      <c r="H54" s="227">
        <v>520</v>
      </c>
      <c r="I54" s="229" t="str">
        <f>IF(H54&lt;=0,"",IF(H54&lt;=2,"Muy Baja",IF(H54&lt;=15,"Baja",IF(H54&lt;=100,"Media",IF(H54&lt;=1000,"Alta","Muy Alta")))))</f>
        <v>Alta</v>
      </c>
      <c r="J54" s="231">
        <v>0.8</v>
      </c>
      <c r="K54" s="233" t="s">
        <v>155</v>
      </c>
      <c r="L54" s="231" t="str">
        <f>IF(NOT(ISERROR(MATCH(K54,'Tabla Impacto'!$B$221:$B$223,0))),'Tabla Impacto'!$F$223&amp;"Por favor no seleccionar los criterios de impacto(Afectación Económica o presupuestal y Pérdida Reputacional)",K54)</f>
        <v xml:space="preserve">     El riesgo afecta la imagen de de la entidad con efecto publicitario sostenido a nivel de sector administrativo, nivel departamental o municipal</v>
      </c>
      <c r="M54" s="229" t="str">
        <f>IF(OR(L54='Tabla Impacto'!$C$11,L54='Tabla Impacto'!$D$11),"Leve",IF(OR(L54='Tabla Impacto'!$C$12,L54='Tabla Impacto'!$D$12),"Menor",IF(OR(L54='Tabla Impacto'!$C$13,L54='Tabla Impacto'!$D$13),"Moderado",IF(OR(L54='Tabla Impacto'!$C$14,L54='Tabla Impacto'!$D$14),"Mayor",IF(OR(L54='Tabla Impacto'!$C$15,L54='Tabla Impacto'!$D$15),"Catastrófico","")))))</f>
        <v>Mayor</v>
      </c>
      <c r="N54" s="231">
        <f>IF(M54="","",IF(M54="Leve",0.2,IF(M54="Menor",0.4,IF(M54="Moderado",0.6,IF(M54="Mayor",0.8,IF(M54="Catastrófico",1,))))))</f>
        <v>0.8</v>
      </c>
      <c r="O54" s="214" t="str">
        <f>IF(OR(AND(I54="Muy Baja",M54="Leve"),AND(I54="Muy Baja",M54="Menor"),AND(I54="Baja",M54="Leve")),"Bajo",IF(OR(AND(I54="Muy baja",M54="Moderado"),AND(I54="Baja",M54="Menor"),AND(I54="Baja",M54="Moderado"),AND(I54="Media",M54="Leve"),AND(I54="Media",M54="Menor"),AND(I54="Media",M54="Moderado"),AND(I54="Alta",M54="Leve"),AND(I54="Alta",M54="Menor")),"Moderado",IF(OR(AND(I54="Muy Baja",M54="Mayor"),AND(I54="Baja",M54="Mayor"),AND(I54="Media",M54="Mayor"),AND(I54="Alta",M54="Moderado"),AND(I54="Alta",M54="Mayor"),AND(I54="Muy Alta",M54="Leve"),AND(I54="Muy Alta",M54="Menor"),AND(I54="Muy Alta",M54="Moderado"),AND(I54="Muy Alta",M54="Mayor")),"Alto",IF(OR(AND(I54="Muy Baja",M54="Catastrófico"),AND(I54="Baja",M54="Catastrófico"),AND(I54="Media",M54="Catastrófico"),AND(I54="Alta",M54="Catastrófico"),AND(I54="Muy Alta",M54="Catastrófico")),"Extremo",""))))</f>
        <v>Alto</v>
      </c>
      <c r="P54" s="122">
        <v>1</v>
      </c>
      <c r="Q54" s="123" t="s">
        <v>347</v>
      </c>
      <c r="R54" s="124" t="str">
        <f t="shared" si="16"/>
        <v>Probabilidad</v>
      </c>
      <c r="S54" s="143" t="s">
        <v>14</v>
      </c>
      <c r="T54" s="143" t="s">
        <v>9</v>
      </c>
      <c r="U54" s="147" t="str">
        <f t="shared" si="17"/>
        <v>40%</v>
      </c>
      <c r="V54" s="143" t="s">
        <v>19</v>
      </c>
      <c r="W54" s="143" t="s">
        <v>23</v>
      </c>
      <c r="X54" s="143" t="s">
        <v>118</v>
      </c>
      <c r="Y54" s="127">
        <f>IFERROR(IF(R54="Probabilidad",(J54-(+J54*U54)),IF(R54="Impacto",J54,"")),"")</f>
        <v>0.48</v>
      </c>
      <c r="Z54" s="128" t="str">
        <f t="shared" si="18"/>
        <v>Media</v>
      </c>
      <c r="AA54" s="129">
        <f t="shared" si="19"/>
        <v>0.48</v>
      </c>
      <c r="AB54" s="141" t="str">
        <f t="shared" si="20"/>
        <v>Mayor</v>
      </c>
      <c r="AC54" s="129">
        <f>IFERROR(IF(R54="Impacto",(N54-(+N54*U54)),IF(R54="Probabilidad",N54,"")),"")</f>
        <v>0.8</v>
      </c>
      <c r="AD54" s="148" t="str">
        <f t="shared" si="21"/>
        <v>Alto</v>
      </c>
      <c r="AE54" s="131" t="s">
        <v>135</v>
      </c>
      <c r="AF54" s="132" t="s">
        <v>350</v>
      </c>
      <c r="AG54" s="132" t="s">
        <v>353</v>
      </c>
      <c r="AH54" s="134" t="s">
        <v>355</v>
      </c>
      <c r="AI54" s="134" t="s">
        <v>356</v>
      </c>
      <c r="AJ54" s="132" t="s">
        <v>357</v>
      </c>
      <c r="AK54" s="133" t="s">
        <v>41</v>
      </c>
    </row>
    <row r="55" spans="1:37" ht="75.75" x14ac:dyDescent="0.3">
      <c r="A55" s="236"/>
      <c r="B55" s="250"/>
      <c r="C55" s="226"/>
      <c r="D55" s="226"/>
      <c r="E55" s="226"/>
      <c r="F55" s="224"/>
      <c r="G55" s="226"/>
      <c r="H55" s="228"/>
      <c r="I55" s="230"/>
      <c r="J55" s="232"/>
      <c r="K55" s="234"/>
      <c r="L55" s="232">
        <f>IF(NOT(ISERROR(MATCH(K55,_xlfn.ANCHORARRAY(#REF!),0))),#REF!&amp;"Por favor no seleccionar los criterios de impacto",K55)</f>
        <v>0</v>
      </c>
      <c r="M55" s="230"/>
      <c r="N55" s="232"/>
      <c r="O55" s="215"/>
      <c r="P55" s="122">
        <v>2</v>
      </c>
      <c r="Q55" s="123" t="s">
        <v>348</v>
      </c>
      <c r="R55" s="124" t="str">
        <f t="shared" si="16"/>
        <v>Impacto</v>
      </c>
      <c r="S55" s="143" t="s">
        <v>16</v>
      </c>
      <c r="T55" s="143" t="s">
        <v>9</v>
      </c>
      <c r="U55" s="147" t="str">
        <f t="shared" si="17"/>
        <v>25%</v>
      </c>
      <c r="V55" s="143" t="s">
        <v>19</v>
      </c>
      <c r="W55" s="143" t="s">
        <v>23</v>
      </c>
      <c r="X55" s="143" t="s">
        <v>118</v>
      </c>
      <c r="Y55" s="127">
        <f>IFERROR(IF(AND(R54="Probabilidad",R55="Probabilidad"),(AA54-(+AA54*U55)),IF(R55="Probabilidad",(J54-(+J54*U55)),IF(R55="Impacto",AA54,""))),"")</f>
        <v>0.48</v>
      </c>
      <c r="Z55" s="128" t="str">
        <f t="shared" si="18"/>
        <v>Media</v>
      </c>
      <c r="AA55" s="129">
        <f t="shared" si="19"/>
        <v>0.48</v>
      </c>
      <c r="AB55" s="141" t="str">
        <f t="shared" si="20"/>
        <v>Moderado</v>
      </c>
      <c r="AC55" s="129">
        <f>IFERROR(IF(AND(R54="Impacto",R55="Impacto"),(AC54-(+AC54*U55)),IF(R55="Impacto",(N54-(+N54*U55)),IF(R55="Probabilidad",AC54,""))),"")</f>
        <v>0.60000000000000009</v>
      </c>
      <c r="AD55" s="148" t="str">
        <f t="shared" si="21"/>
        <v>Moderado</v>
      </c>
      <c r="AE55" s="131" t="s">
        <v>135</v>
      </c>
      <c r="AF55" s="132" t="s">
        <v>351</v>
      </c>
      <c r="AG55" s="132" t="s">
        <v>353</v>
      </c>
      <c r="AH55" s="134" t="s">
        <v>355</v>
      </c>
      <c r="AI55" s="134" t="s">
        <v>356</v>
      </c>
      <c r="AJ55" s="132" t="s">
        <v>357</v>
      </c>
      <c r="AK55" s="133" t="s">
        <v>41</v>
      </c>
    </row>
    <row r="56" spans="1:37" ht="75.75" x14ac:dyDescent="0.3">
      <c r="A56" s="236"/>
      <c r="B56" s="250"/>
      <c r="C56" s="226"/>
      <c r="D56" s="226"/>
      <c r="E56" s="226"/>
      <c r="F56" s="224"/>
      <c r="G56" s="226"/>
      <c r="H56" s="228"/>
      <c r="I56" s="230"/>
      <c r="J56" s="232"/>
      <c r="K56" s="234"/>
      <c r="L56" s="232">
        <f>IF(NOT(ISERROR(MATCH(K56,_xlfn.ANCHORARRAY(#REF!),0))),#REF!&amp;"Por favor no seleccionar los criterios de impacto",K56)</f>
        <v>0</v>
      </c>
      <c r="M56" s="230"/>
      <c r="N56" s="232"/>
      <c r="O56" s="215"/>
      <c r="P56" s="122">
        <v>3</v>
      </c>
      <c r="Q56" s="135" t="s">
        <v>349</v>
      </c>
      <c r="R56" s="124" t="str">
        <f t="shared" si="16"/>
        <v>Probabilidad</v>
      </c>
      <c r="S56" s="143" t="s">
        <v>15</v>
      </c>
      <c r="T56" s="143" t="s">
        <v>9</v>
      </c>
      <c r="U56" s="147" t="str">
        <f t="shared" si="17"/>
        <v>30%</v>
      </c>
      <c r="V56" s="143" t="s">
        <v>19</v>
      </c>
      <c r="W56" s="143" t="s">
        <v>23</v>
      </c>
      <c r="X56" s="143" t="s">
        <v>118</v>
      </c>
      <c r="Y56" s="127">
        <f>IFERROR(IF(AND(R55="Probabilidad",R56="Probabilidad"),(AA55-(+AA55*U56)),IF(AND(R55="Impacto",R56="Probabilidad"),(AA54-(+AA54*U56)),IF(R56="Impacto",AA55,""))),"")</f>
        <v>0.33599999999999997</v>
      </c>
      <c r="Z56" s="128" t="str">
        <f t="shared" si="18"/>
        <v>Baja</v>
      </c>
      <c r="AA56" s="129">
        <f t="shared" si="19"/>
        <v>0.33599999999999997</v>
      </c>
      <c r="AB56" s="141" t="str">
        <f t="shared" si="20"/>
        <v>Moderado</v>
      </c>
      <c r="AC56" s="129">
        <f>IFERROR(IF(AND(R55="Impacto",R56="Impacto"),(AC55-(+AC55*U56)),IF(AND(R55="Probabilidad",R56="Impacto"),(AC54-(+AC54*U56)),IF(R56="Probabilidad",AC55,""))),"")</f>
        <v>0.60000000000000009</v>
      </c>
      <c r="AD56" s="148" t="str">
        <f t="shared" si="21"/>
        <v>Moderado</v>
      </c>
      <c r="AE56" s="131" t="s">
        <v>135</v>
      </c>
      <c r="AF56" s="132" t="s">
        <v>352</v>
      </c>
      <c r="AG56" s="132" t="s">
        <v>354</v>
      </c>
      <c r="AH56" s="134" t="s">
        <v>340</v>
      </c>
      <c r="AI56" s="134" t="s">
        <v>293</v>
      </c>
      <c r="AJ56" s="132" t="s">
        <v>346</v>
      </c>
      <c r="AK56" s="133" t="s">
        <v>41</v>
      </c>
    </row>
    <row r="57" spans="1:37" ht="38.25" customHeight="1" x14ac:dyDescent="0.3">
      <c r="A57" s="235">
        <v>17</v>
      </c>
      <c r="B57" s="250"/>
      <c r="C57" s="225" t="s">
        <v>132</v>
      </c>
      <c r="D57" s="238" t="s">
        <v>243</v>
      </c>
      <c r="E57" s="239"/>
      <c r="F57" s="223" t="s">
        <v>244</v>
      </c>
      <c r="G57" s="225" t="s">
        <v>128</v>
      </c>
      <c r="H57" s="227">
        <v>365</v>
      </c>
      <c r="I57" s="229" t="str">
        <f>IF(H57&lt;=0,"",IF(H57&lt;=2,"Muy Baja",IF(H57&lt;=15,"Baja",IF(H57&lt;=100,"Media",IF(H57&lt;=1000,"Alta","Muy Alta")))))</f>
        <v>Alta</v>
      </c>
      <c r="J57" s="231">
        <v>0.8</v>
      </c>
      <c r="K57" s="233" t="s">
        <v>151</v>
      </c>
      <c r="L57" s="231" t="str">
        <f>IF(NOT(ISERROR(MATCH(K57,'Tabla Impacto'!$B$221:$B$223,0))),'Tabla Impacto'!$F$223&amp;"Por favor no seleccionar los criterios de impacto(Afectación Económica o presupuestal y Pérdida Reputacional)",K57)</f>
        <v xml:space="preserve">     Mayor a 500 SMLMV </v>
      </c>
      <c r="M57" s="229" t="str">
        <f>IF(OR(L57='Tabla Impacto'!$C$11,L57='Tabla Impacto'!$D$11),"Leve",IF(OR(L57='Tabla Impacto'!$C$12,L57='Tabla Impacto'!$D$12),"Menor",IF(OR(L57='Tabla Impacto'!$C$13,L57='Tabla Impacto'!$D$13),"Moderado",IF(OR(L57='Tabla Impacto'!$C$14,L57='Tabla Impacto'!$D$14),"Mayor",IF(OR(L57='Tabla Impacto'!$C$15,L57='Tabla Impacto'!$D$15),"Catastrófico","")))))</f>
        <v>Catastrófico</v>
      </c>
      <c r="N57" s="231">
        <f>IF(M57="","",IF(M57="Leve",0.2,IF(M57="Menor",0.4,IF(M57="Moderado",0.6,IF(M57="Mayor",0.8,IF(M57="Catastrófico",1,))))))</f>
        <v>1</v>
      </c>
      <c r="O57" s="214" t="str">
        <f>IF(OR(AND(I57="Muy Baja",M57="Leve"),AND(I57="Muy Baja",M57="Menor"),AND(I57="Baja",M57="Leve")),"Bajo",IF(OR(AND(I57="Muy baja",M57="Moderado"),AND(I57="Baja",M57="Menor"),AND(I57="Baja",M57="Moderado"),AND(I57="Media",M57="Leve"),AND(I57="Media",M57="Menor"),AND(I57="Media",M57="Moderado"),AND(I57="Alta",M57="Leve"),AND(I57="Alta",M57="Menor")),"Moderado",IF(OR(AND(I57="Muy Baja",M57="Mayor"),AND(I57="Baja",M57="Mayor"),AND(I57="Media",M57="Mayor"),AND(I57="Alta",M57="Moderado"),AND(I57="Alta",M57="Mayor"),AND(I57="Muy Alta",M57="Leve"),AND(I57="Muy Alta",M57="Menor"),AND(I57="Muy Alta",M57="Moderado"),AND(I57="Muy Alta",M57="Mayor")),"Alto",IF(OR(AND(I57="Muy Baja",M57="Catastrófico"),AND(I57="Baja",M57="Catastrófico"),AND(I57="Media",M57="Catastrófico"),AND(I57="Alta",M57="Catastrófico"),AND(I57="Muy Alta",M57="Catastrófico")),"Extremo",""))))</f>
        <v>Extremo</v>
      </c>
      <c r="P57" s="122">
        <v>1</v>
      </c>
      <c r="Q57" s="140" t="s">
        <v>358</v>
      </c>
      <c r="R57" s="124" t="str">
        <f t="shared" si="16"/>
        <v>Impacto</v>
      </c>
      <c r="S57" s="125" t="s">
        <v>16</v>
      </c>
      <c r="T57" s="125" t="s">
        <v>9</v>
      </c>
      <c r="U57" s="126" t="str">
        <f t="shared" si="17"/>
        <v>25%</v>
      </c>
      <c r="V57" s="125" t="s">
        <v>20</v>
      </c>
      <c r="W57" s="143" t="s">
        <v>23</v>
      </c>
      <c r="X57" s="143" t="s">
        <v>119</v>
      </c>
      <c r="Y57" s="127">
        <f>IFERROR(IF(R57="Probabilidad",(J57-(+J57*U57)),IF(R57="Impacto",J57,"")),"")</f>
        <v>0.8</v>
      </c>
      <c r="Z57" s="128" t="str">
        <f t="shared" si="18"/>
        <v>Alta</v>
      </c>
      <c r="AA57" s="129">
        <f t="shared" si="19"/>
        <v>0.8</v>
      </c>
      <c r="AB57" s="128" t="str">
        <f t="shared" si="20"/>
        <v>Mayor</v>
      </c>
      <c r="AC57" s="129">
        <f>IFERROR(IF(R57="Impacto",(N57-(+N57*U57)),IF(R57="Probabilidad",N57,"")),"")</f>
        <v>0.75</v>
      </c>
      <c r="AD57" s="130" t="str">
        <f t="shared" si="21"/>
        <v>Alto</v>
      </c>
      <c r="AE57" s="131" t="s">
        <v>135</v>
      </c>
      <c r="AF57" s="132" t="s">
        <v>360</v>
      </c>
      <c r="AG57" s="132" t="s">
        <v>361</v>
      </c>
      <c r="AH57" s="134" t="s">
        <v>362</v>
      </c>
      <c r="AI57" s="134" t="s">
        <v>363</v>
      </c>
      <c r="AJ57" s="132" t="s">
        <v>346</v>
      </c>
      <c r="AK57" s="133" t="s">
        <v>364</v>
      </c>
    </row>
    <row r="58" spans="1:37" ht="75.75" x14ac:dyDescent="0.3">
      <c r="A58" s="236"/>
      <c r="B58" s="250"/>
      <c r="C58" s="226"/>
      <c r="D58" s="240"/>
      <c r="E58" s="241"/>
      <c r="F58" s="224"/>
      <c r="G58" s="226"/>
      <c r="H58" s="228"/>
      <c r="I58" s="230"/>
      <c r="J58" s="232"/>
      <c r="K58" s="234"/>
      <c r="L58" s="232">
        <f>IF(NOT(ISERROR(MATCH(K58,_xlfn.ANCHORARRAY(#REF!),0))),J146&amp;"Por favor no seleccionar los criterios de impacto",K58)</f>
        <v>0</v>
      </c>
      <c r="M58" s="230"/>
      <c r="N58" s="232"/>
      <c r="O58" s="215"/>
      <c r="P58" s="122">
        <v>2</v>
      </c>
      <c r="Q58" s="123" t="s">
        <v>359</v>
      </c>
      <c r="R58" s="124" t="str">
        <f t="shared" si="16"/>
        <v>Probabilidad</v>
      </c>
      <c r="S58" s="125" t="s">
        <v>14</v>
      </c>
      <c r="T58" s="125" t="s">
        <v>9</v>
      </c>
      <c r="U58" s="126" t="str">
        <f t="shared" si="17"/>
        <v>40%</v>
      </c>
      <c r="V58" s="125" t="s">
        <v>20</v>
      </c>
      <c r="W58" s="143" t="s">
        <v>23</v>
      </c>
      <c r="X58" s="143" t="s">
        <v>119</v>
      </c>
      <c r="Y58" s="127">
        <f>IFERROR(IF(AND(R57="Probabilidad",R58="Probabilidad"),(AA57-(+AA57*U58)),IF(R58="Probabilidad",(J57-(+J57*U58)),IF(R58="Impacto",AA57,""))),"")</f>
        <v>0.48</v>
      </c>
      <c r="Z58" s="128" t="str">
        <f t="shared" si="18"/>
        <v>Media</v>
      </c>
      <c r="AA58" s="129">
        <f t="shared" si="19"/>
        <v>0.48</v>
      </c>
      <c r="AB58" s="128" t="str">
        <f t="shared" si="20"/>
        <v>Mayor</v>
      </c>
      <c r="AC58" s="129">
        <f>IFERROR(IF(AND(R57="Impacto",R58="Impacto"),(AC57-(+AC57*U58)),IF(R58="Impacto",(N57-(+N57*U58)),IF(R58="Probabilidad",AC57,""))),"")</f>
        <v>0.75</v>
      </c>
      <c r="AD58" s="130" t="str">
        <f t="shared" si="21"/>
        <v>Alto</v>
      </c>
      <c r="AE58" s="131" t="s">
        <v>135</v>
      </c>
      <c r="AF58" s="132" t="s">
        <v>365</v>
      </c>
      <c r="AG58" s="132" t="s">
        <v>361</v>
      </c>
      <c r="AH58" s="134" t="s">
        <v>362</v>
      </c>
      <c r="AI58" s="134" t="s">
        <v>363</v>
      </c>
      <c r="AJ58" s="132" t="s">
        <v>346</v>
      </c>
      <c r="AK58" s="133" t="s">
        <v>364</v>
      </c>
    </row>
    <row r="59" spans="1:37" ht="75.75" x14ac:dyDescent="0.3">
      <c r="A59" s="235">
        <v>18</v>
      </c>
      <c r="B59" s="250"/>
      <c r="C59" s="225" t="s">
        <v>131</v>
      </c>
      <c r="D59" s="225" t="s">
        <v>245</v>
      </c>
      <c r="E59" s="225" t="s">
        <v>246</v>
      </c>
      <c r="F59" s="223" t="s">
        <v>247</v>
      </c>
      <c r="G59" s="225" t="s">
        <v>122</v>
      </c>
      <c r="H59" s="227">
        <v>5</v>
      </c>
      <c r="I59" s="229" t="str">
        <f>IF(H59&lt;=0,"",IF(H59&lt;=2,"Muy Baja",IF(H59&lt;=15,"Baja",IF(H59&lt;=100,"Media",IF(H59&lt;=1000,"Alta","Muy Alta")))))</f>
        <v>Baja</v>
      </c>
      <c r="J59" s="231">
        <v>0.8</v>
      </c>
      <c r="K59" s="233" t="s">
        <v>152</v>
      </c>
      <c r="L59" s="231" t="str">
        <f>IF(NOT(ISERROR(MATCH(K59,'Tabla Impacto'!$B$221:$B$223,0))),'Tabla Impacto'!$F$223&amp;"Por favor no seleccionar los criterios de impacto(Afectación Económica o presupuestal y Pérdida Reputacional)",K59)</f>
        <v xml:space="preserve">     El riesgo afecta la imagen de alguna área de la organización</v>
      </c>
      <c r="M59" s="229" t="str">
        <f>IF(OR(L59='Tabla Impacto'!$C$11,L59='Tabla Impacto'!$D$11),"Leve",IF(OR(L59='Tabla Impacto'!$C$12,L59='Tabla Impacto'!$D$12),"Menor",IF(OR(L59='Tabla Impacto'!$C$13,L59='Tabla Impacto'!$D$13),"Moderado",IF(OR(L59='Tabla Impacto'!$C$14,L59='Tabla Impacto'!$D$14),"Mayor",IF(OR(L59='Tabla Impacto'!$C$15,L59='Tabla Impacto'!$D$15),"Catastrófico","")))))</f>
        <v>Leve</v>
      </c>
      <c r="N59" s="231">
        <f>IF(M59="","",IF(M59="Leve",0.2,IF(M59="Menor",0.4,IF(M59="Moderado",0.6,IF(M59="Mayor",0.8,IF(M59="Catastrófico",1,))))))</f>
        <v>0.2</v>
      </c>
      <c r="O59" s="214" t="str">
        <f>IF(OR(AND(I59="Muy Baja",M59="Leve"),AND(I59="Muy Baja",M59="Menor"),AND(I59="Baja",M59="Leve")),"Bajo",IF(OR(AND(I59="Muy baja",M59="Moderado"),AND(I59="Baja",M59="Menor"),AND(I59="Baja",M59="Moderado"),AND(I59="Media",M59="Leve"),AND(I59="Media",M59="Menor"),AND(I59="Media",M59="Moderado"),AND(I59="Alta",M59="Leve"),AND(I59="Alta",M59="Menor")),"Moderado",IF(OR(AND(I59="Muy Baja",M59="Mayor"),AND(I59="Baja",M59="Mayor"),AND(I59="Media",M59="Mayor"),AND(I59="Alta",M59="Moderado"),AND(I59="Alta",M59="Mayor"),AND(I59="Muy Alta",M59="Leve"),AND(I59="Muy Alta",M59="Menor"),AND(I59="Muy Alta",M59="Moderado"),AND(I59="Muy Alta",M59="Mayor")),"Alto",IF(OR(AND(I59="Muy Baja",M59="Catastrófico"),AND(I59="Baja",M59="Catastrófico"),AND(I59="Media",M59="Catastrófico"),AND(I59="Alta",M59="Catastrófico"),AND(I59="Muy Alta",M59="Catastrófico")),"Extremo",""))))</f>
        <v>Bajo</v>
      </c>
      <c r="P59" s="122">
        <v>1</v>
      </c>
      <c r="Q59" s="123" t="s">
        <v>366</v>
      </c>
      <c r="R59" s="124" t="str">
        <f t="shared" si="16"/>
        <v>Probabilidad</v>
      </c>
      <c r="S59" s="125" t="s">
        <v>14</v>
      </c>
      <c r="T59" s="125" t="s">
        <v>9</v>
      </c>
      <c r="U59" s="126" t="str">
        <f t="shared" si="17"/>
        <v>40%</v>
      </c>
      <c r="V59" s="143" t="s">
        <v>19</v>
      </c>
      <c r="W59" s="143" t="s">
        <v>22</v>
      </c>
      <c r="X59" s="143" t="s">
        <v>118</v>
      </c>
      <c r="Y59" s="127">
        <f>IFERROR(IF(R59="Probabilidad",(J59-(+J59*U59)),IF(R59="Impacto",J59,"")),"")</f>
        <v>0.48</v>
      </c>
      <c r="Z59" s="128" t="str">
        <f t="shared" si="18"/>
        <v>Media</v>
      </c>
      <c r="AA59" s="129">
        <f t="shared" si="19"/>
        <v>0.48</v>
      </c>
      <c r="AB59" s="128" t="str">
        <f t="shared" si="20"/>
        <v>Leve</v>
      </c>
      <c r="AC59" s="129">
        <f>IFERROR(IF(R59="Impacto",(N59-(+N59*U59)),IF(R59="Probabilidad",N59,"")),"")</f>
        <v>0.2</v>
      </c>
      <c r="AD59" s="130" t="str">
        <f t="shared" si="21"/>
        <v>Moderado</v>
      </c>
      <c r="AE59" s="131" t="s">
        <v>135</v>
      </c>
      <c r="AF59" s="149" t="s">
        <v>367</v>
      </c>
      <c r="AG59" s="132" t="s">
        <v>368</v>
      </c>
      <c r="AH59" s="134" t="s">
        <v>340</v>
      </c>
      <c r="AI59" s="134" t="s">
        <v>340</v>
      </c>
      <c r="AJ59" s="132" t="s">
        <v>345</v>
      </c>
      <c r="AK59" s="133" t="s">
        <v>41</v>
      </c>
    </row>
    <row r="60" spans="1:37" ht="75.75" x14ac:dyDescent="0.3">
      <c r="A60" s="236"/>
      <c r="B60" s="250"/>
      <c r="C60" s="226"/>
      <c r="D60" s="226"/>
      <c r="E60" s="226"/>
      <c r="F60" s="224"/>
      <c r="G60" s="226"/>
      <c r="H60" s="228"/>
      <c r="I60" s="230"/>
      <c r="J60" s="232"/>
      <c r="K60" s="234"/>
      <c r="L60" s="232">
        <f>IF(NOT(ISERROR(MATCH(K60,_xlfn.ANCHORARRAY(F150),0))),J152&amp;"Por favor no seleccionar los criterios de impacto",K60)</f>
        <v>0</v>
      </c>
      <c r="M60" s="230"/>
      <c r="N60" s="232"/>
      <c r="O60" s="215"/>
      <c r="P60" s="122">
        <v>2</v>
      </c>
      <c r="Q60" s="123" t="s">
        <v>369</v>
      </c>
      <c r="R60" s="124" t="str">
        <f t="shared" si="16"/>
        <v>Probabilidad</v>
      </c>
      <c r="S60" s="125" t="s">
        <v>14</v>
      </c>
      <c r="T60" s="125" t="s">
        <v>9</v>
      </c>
      <c r="U60" s="126" t="str">
        <f t="shared" si="17"/>
        <v>40%</v>
      </c>
      <c r="V60" s="125" t="s">
        <v>20</v>
      </c>
      <c r="W60" s="143" t="s">
        <v>22</v>
      </c>
      <c r="X60" s="143" t="s">
        <v>119</v>
      </c>
      <c r="Y60" s="127">
        <f>IFERROR(IF(AND(R59="Probabilidad",R60="Probabilidad"),(AA59-(+AA59*U60)),IF(R60="Probabilidad",(J59-(+J59*U60)),IF(R60="Impacto",AA59,""))),"")</f>
        <v>0.28799999999999998</v>
      </c>
      <c r="Z60" s="128" t="str">
        <f t="shared" si="18"/>
        <v>Baja</v>
      </c>
      <c r="AA60" s="129">
        <f t="shared" si="19"/>
        <v>0.28799999999999998</v>
      </c>
      <c r="AB60" s="128" t="str">
        <f t="shared" si="20"/>
        <v>Leve</v>
      </c>
      <c r="AC60" s="129">
        <f>IFERROR(IF(AND(R59="Impacto",R60="Impacto"),(AC59-(+AC59*U60)),IF(R60="Impacto",(N59-(+N59*U60)),IF(R60="Probabilidad",AC59,""))),"")</f>
        <v>0.2</v>
      </c>
      <c r="AD60" s="130" t="str">
        <f t="shared" si="21"/>
        <v>Bajo</v>
      </c>
      <c r="AE60" s="131" t="s">
        <v>135</v>
      </c>
      <c r="AF60" s="149" t="s">
        <v>372</v>
      </c>
      <c r="AG60" s="133" t="s">
        <v>375</v>
      </c>
      <c r="AH60" s="134" t="s">
        <v>377</v>
      </c>
      <c r="AI60" s="134" t="s">
        <v>380</v>
      </c>
      <c r="AJ60" s="132" t="s">
        <v>357</v>
      </c>
      <c r="AK60" s="133" t="s">
        <v>41</v>
      </c>
    </row>
    <row r="61" spans="1:37" ht="75.75" x14ac:dyDescent="0.3">
      <c r="A61" s="236"/>
      <c r="B61" s="250"/>
      <c r="C61" s="226"/>
      <c r="D61" s="226"/>
      <c r="E61" s="226"/>
      <c r="F61" s="224"/>
      <c r="G61" s="226"/>
      <c r="H61" s="228"/>
      <c r="I61" s="230"/>
      <c r="J61" s="232"/>
      <c r="K61" s="234"/>
      <c r="L61" s="232">
        <f>IF(NOT(ISERROR(MATCH(K61,_xlfn.ANCHORARRAY(F151),0))),J153&amp;"Por favor no seleccionar los criterios de impacto",K61)</f>
        <v>0</v>
      </c>
      <c r="M61" s="230"/>
      <c r="N61" s="232"/>
      <c r="O61" s="215"/>
      <c r="P61" s="122">
        <v>3</v>
      </c>
      <c r="Q61" s="135" t="s">
        <v>370</v>
      </c>
      <c r="R61" s="124" t="str">
        <f t="shared" ref="R61:R82" si="22">IF(OR(S61="Preventivo",S61="Detectivo"),"Probabilidad",IF(S61="Correctivo","Impacto",""))</f>
        <v>Probabilidad</v>
      </c>
      <c r="S61" s="125" t="s">
        <v>14</v>
      </c>
      <c r="T61" s="125" t="s">
        <v>9</v>
      </c>
      <c r="U61" s="126" t="str">
        <f t="shared" si="17"/>
        <v>40%</v>
      </c>
      <c r="V61" s="125" t="s">
        <v>20</v>
      </c>
      <c r="W61" s="143" t="s">
        <v>22</v>
      </c>
      <c r="X61" s="143" t="s">
        <v>119</v>
      </c>
      <c r="Y61" s="127">
        <f>IFERROR(IF(AND(R60="Probabilidad",R61="Probabilidad"),(AA60-(+AA60*U61)),IF(AND(R60="Impacto",R61="Probabilidad"),(AA59-(+AA59*U61)),IF(R61="Impacto",AA60,""))),"")</f>
        <v>0.17279999999999998</v>
      </c>
      <c r="Z61" s="128" t="str">
        <f t="shared" si="18"/>
        <v>Muy Baja</v>
      </c>
      <c r="AA61" s="129">
        <f t="shared" si="19"/>
        <v>0.17279999999999998</v>
      </c>
      <c r="AB61" s="128" t="str">
        <f t="shared" si="20"/>
        <v>Leve</v>
      </c>
      <c r="AC61" s="129">
        <f>IFERROR(IF(AND(R60="Impacto",R61="Impacto"),(AC60-(+AC60*U61)),IF(AND(R60="Probabilidad",R61="Impacto"),(AC59-(+AC59*U61)),IF(R61="Probabilidad",AC60,""))),"")</f>
        <v>0.2</v>
      </c>
      <c r="AD61" s="130" t="str">
        <f t="shared" si="21"/>
        <v>Bajo</v>
      </c>
      <c r="AE61" s="131" t="s">
        <v>135</v>
      </c>
      <c r="AF61" s="149" t="s">
        <v>373</v>
      </c>
      <c r="AG61" s="133" t="s">
        <v>375</v>
      </c>
      <c r="AH61" s="134" t="s">
        <v>378</v>
      </c>
      <c r="AI61" s="146" t="s">
        <v>381</v>
      </c>
      <c r="AJ61" s="132" t="s">
        <v>294</v>
      </c>
      <c r="AK61" s="133" t="s">
        <v>41</v>
      </c>
    </row>
    <row r="62" spans="1:37" ht="75.75" x14ac:dyDescent="0.3">
      <c r="A62" s="236"/>
      <c r="B62" s="250"/>
      <c r="C62" s="226"/>
      <c r="D62" s="226"/>
      <c r="E62" s="226"/>
      <c r="F62" s="224"/>
      <c r="G62" s="226"/>
      <c r="H62" s="228"/>
      <c r="I62" s="230"/>
      <c r="J62" s="232"/>
      <c r="K62" s="234"/>
      <c r="L62" s="232">
        <f>IF(NOT(ISERROR(MATCH(K62,_xlfn.ANCHORARRAY(F152),0))),J154&amp;"Por favor no seleccionar los criterios de impacto",K62)</f>
        <v>0</v>
      </c>
      <c r="M62" s="230"/>
      <c r="N62" s="232"/>
      <c r="O62" s="215"/>
      <c r="P62" s="122">
        <v>4</v>
      </c>
      <c r="Q62" s="123" t="s">
        <v>371</v>
      </c>
      <c r="R62" s="124" t="str">
        <f t="shared" si="22"/>
        <v>Probabilidad</v>
      </c>
      <c r="S62" s="125" t="s">
        <v>14</v>
      </c>
      <c r="T62" s="125" t="s">
        <v>9</v>
      </c>
      <c r="U62" s="126" t="str">
        <f t="shared" si="17"/>
        <v>40%</v>
      </c>
      <c r="V62" s="125" t="s">
        <v>20</v>
      </c>
      <c r="W62" s="143" t="s">
        <v>23</v>
      </c>
      <c r="X62" s="143" t="s">
        <v>119</v>
      </c>
      <c r="Y62" s="127">
        <f>IFERROR(IF(AND(R61="Probabilidad",R62="Probabilidad"),(AA61-(+AA61*U62)),IF(AND(R61="Impacto",R62="Probabilidad"),(AA60-(+AA60*U62)),IF(R62="Impacto",AA61,""))),"")</f>
        <v>0.10367999999999998</v>
      </c>
      <c r="Z62" s="128" t="str">
        <f t="shared" si="18"/>
        <v>Muy Baja</v>
      </c>
      <c r="AA62" s="129">
        <f t="shared" si="19"/>
        <v>0.10367999999999998</v>
      </c>
      <c r="AB62" s="128" t="str">
        <f t="shared" si="20"/>
        <v>Leve</v>
      </c>
      <c r="AC62" s="129">
        <f>IFERROR(IF(AND(R61="Impacto",R62="Impacto"),(AC61-(+AC61*U62)),IF(AND(R61="Probabilidad",R62="Impacto"),(AC60-(+AC60*U62)),IF(R62="Probabilidad",AC61,""))),"")</f>
        <v>0.2</v>
      </c>
      <c r="AD62" s="130" t="str">
        <f t="shared" si="21"/>
        <v>Bajo</v>
      </c>
      <c r="AE62" s="131" t="s">
        <v>135</v>
      </c>
      <c r="AF62" s="149" t="s">
        <v>374</v>
      </c>
      <c r="AG62" s="133" t="s">
        <v>376</v>
      </c>
      <c r="AH62" s="134" t="s">
        <v>379</v>
      </c>
      <c r="AI62" s="146" t="s">
        <v>379</v>
      </c>
      <c r="AJ62" s="146" t="s">
        <v>379</v>
      </c>
      <c r="AK62" s="133" t="s">
        <v>41</v>
      </c>
    </row>
    <row r="63" spans="1:37" ht="53.25" customHeight="1" x14ac:dyDescent="0.3">
      <c r="A63" s="235">
        <v>19</v>
      </c>
      <c r="B63" s="250"/>
      <c r="C63" s="225" t="s">
        <v>133</v>
      </c>
      <c r="D63" s="238" t="s">
        <v>248</v>
      </c>
      <c r="E63" s="239"/>
      <c r="F63" s="223" t="s">
        <v>249</v>
      </c>
      <c r="G63" s="225" t="s">
        <v>125</v>
      </c>
      <c r="H63" s="227">
        <v>365</v>
      </c>
      <c r="I63" s="229" t="str">
        <f>IF(H63&lt;=0,"",IF(H63&lt;=2,"Muy Baja",IF(H63&lt;=15,"Baja",IF(H63&lt;=100,"Media",IF(H63&lt;=1000,"Alta","Muy Alta")))))</f>
        <v>Alta</v>
      </c>
      <c r="J63" s="231">
        <v>0.8</v>
      </c>
      <c r="K63" s="233" t="s">
        <v>149</v>
      </c>
      <c r="L63" s="231" t="str">
        <f>IF(NOT(ISERROR(MATCH(K63,'Tabla Impacto'!$B$221:$B$223,0))),'Tabla Impacto'!$F$223&amp;"Por favor no seleccionar los criterios de impacto(Afectación Económica o presupuestal y Pérdida Reputacional)",K63)</f>
        <v xml:space="preserve">     Entre 10 y 50 SMLMV </v>
      </c>
      <c r="M63" s="229" t="str">
        <f>IF(OR(L63='Tabla Impacto'!$C$11,L63='Tabla Impacto'!$D$11),"Leve",IF(OR(L63='Tabla Impacto'!$C$12,L63='Tabla Impacto'!$D$12),"Menor",IF(OR(L63='Tabla Impacto'!$C$13,L63='Tabla Impacto'!$D$13),"Moderado",IF(OR(L63='Tabla Impacto'!$C$14,L63='Tabla Impacto'!$D$14),"Mayor",IF(OR(L63='Tabla Impacto'!$C$15,L63='Tabla Impacto'!$D$15),"Catastrófico","")))))</f>
        <v>Menor</v>
      </c>
      <c r="N63" s="231">
        <f>IF(M63="","",IF(M63="Leve",0.2,IF(M63="Menor",0.4,IF(M63="Moderado",0.6,IF(M63="Mayor",0.8,IF(M63="Catastrófico",1,))))))</f>
        <v>0.4</v>
      </c>
      <c r="O63" s="214" t="str">
        <f>IF(OR(AND(I63="Muy Baja",M63="Leve"),AND(I63="Muy Baja",M63="Menor"),AND(I63="Baja",M63="Leve")),"Bajo",IF(OR(AND(I63="Muy baja",M63="Moderado"),AND(I63="Baja",M63="Menor"),AND(I63="Baja",M63="Moderado"),AND(I63="Media",M63="Leve"),AND(I63="Media",M63="Menor"),AND(I63="Media",M63="Moderado"),AND(I63="Alta",M63="Leve"),AND(I63="Alta",M63="Menor")),"Moderado",IF(OR(AND(I63="Muy Baja",M63="Mayor"),AND(I63="Baja",M63="Mayor"),AND(I63="Media",M63="Mayor"),AND(I63="Alta",M63="Moderado"),AND(I63="Alta",M63="Mayor"),AND(I63="Muy Alta",M63="Leve"),AND(I63="Muy Alta",M63="Menor"),AND(I63="Muy Alta",M63="Moderado"),AND(I63="Muy Alta",M63="Mayor")),"Alto",IF(OR(AND(I63="Muy Baja",M63="Catastrófico"),AND(I63="Baja",M63="Catastrófico"),AND(I63="Media",M63="Catastrófico"),AND(I63="Alta",M63="Catastrófico"),AND(I63="Muy Alta",M63="Catastrófico")),"Extremo",""))))</f>
        <v>Moderado</v>
      </c>
      <c r="P63" s="122">
        <v>1</v>
      </c>
      <c r="Q63" s="123" t="s">
        <v>388</v>
      </c>
      <c r="R63" s="124" t="str">
        <f t="shared" si="22"/>
        <v>Probabilidad</v>
      </c>
      <c r="S63" s="125" t="s">
        <v>14</v>
      </c>
      <c r="T63" s="143" t="s">
        <v>9</v>
      </c>
      <c r="U63" s="126" t="str">
        <f t="shared" si="17"/>
        <v>40%</v>
      </c>
      <c r="V63" s="125" t="s">
        <v>19</v>
      </c>
      <c r="W63" s="143" t="s">
        <v>23</v>
      </c>
      <c r="X63" s="125" t="s">
        <v>119</v>
      </c>
      <c r="Y63" s="127">
        <f>IFERROR(IF(R63="Probabilidad",(J63-(+J63*U63)),IF(R63="Impacto",J63,"")),"")</f>
        <v>0.48</v>
      </c>
      <c r="Z63" s="128" t="str">
        <f t="shared" si="18"/>
        <v>Media</v>
      </c>
      <c r="AA63" s="129">
        <f t="shared" si="19"/>
        <v>0.48</v>
      </c>
      <c r="AB63" s="128" t="str">
        <f t="shared" si="20"/>
        <v>Menor</v>
      </c>
      <c r="AC63" s="129">
        <f>IFERROR(IF(R63="Impacto",(N63-(+N63*U63)),IF(R63="Probabilidad",N63,"")),"")</f>
        <v>0.4</v>
      </c>
      <c r="AD63" s="130" t="str">
        <f t="shared" si="21"/>
        <v>Moderado</v>
      </c>
      <c r="AE63" s="131" t="s">
        <v>135</v>
      </c>
      <c r="AF63" s="132" t="s">
        <v>387</v>
      </c>
      <c r="AG63" s="132" t="s">
        <v>395</v>
      </c>
      <c r="AH63" s="134" t="s">
        <v>362</v>
      </c>
      <c r="AI63" s="134">
        <v>44936</v>
      </c>
      <c r="AJ63" s="132" t="s">
        <v>345</v>
      </c>
      <c r="AK63" s="133" t="s">
        <v>41</v>
      </c>
    </row>
    <row r="64" spans="1:37" ht="76.5" x14ac:dyDescent="0.3">
      <c r="A64" s="236"/>
      <c r="B64" s="250"/>
      <c r="C64" s="226"/>
      <c r="D64" s="240"/>
      <c r="E64" s="241"/>
      <c r="F64" s="224"/>
      <c r="G64" s="226"/>
      <c r="H64" s="228"/>
      <c r="I64" s="230"/>
      <c r="J64" s="232"/>
      <c r="K64" s="234"/>
      <c r="L64" s="232">
        <f>IF(NOT(ISERROR(MATCH(K64,_xlfn.ANCHORARRAY(F156),0))),J158&amp;"Por favor no seleccionar los criterios de impacto",K64)</f>
        <v>0</v>
      </c>
      <c r="M64" s="230"/>
      <c r="N64" s="232"/>
      <c r="O64" s="215"/>
      <c r="P64" s="122">
        <v>2</v>
      </c>
      <c r="Q64" s="123" t="s">
        <v>389</v>
      </c>
      <c r="R64" s="124" t="str">
        <f t="shared" si="22"/>
        <v>Probabilidad</v>
      </c>
      <c r="S64" s="125" t="s">
        <v>14</v>
      </c>
      <c r="T64" s="143" t="s">
        <v>9</v>
      </c>
      <c r="U64" s="126" t="str">
        <f t="shared" si="17"/>
        <v>40%</v>
      </c>
      <c r="V64" s="125" t="s">
        <v>19</v>
      </c>
      <c r="W64" s="143" t="s">
        <v>23</v>
      </c>
      <c r="X64" s="125" t="s">
        <v>119</v>
      </c>
      <c r="Y64" s="127">
        <f>IFERROR(IF(AND(R63="Probabilidad",R64="Probabilidad"),(AA63-(+AA63*U64)),IF(R64="Probabilidad",(J63-(+J63*U64)),IF(R64="Impacto",AA63,""))),"")</f>
        <v>0.28799999999999998</v>
      </c>
      <c r="Z64" s="128" t="str">
        <f t="shared" si="18"/>
        <v>Baja</v>
      </c>
      <c r="AA64" s="129">
        <f t="shared" si="19"/>
        <v>0.28799999999999998</v>
      </c>
      <c r="AB64" s="128" t="str">
        <f t="shared" si="20"/>
        <v>Menor</v>
      </c>
      <c r="AC64" s="129">
        <f>IFERROR(IF(AND(R63="Impacto",R64="Impacto"),(AC63-(+AC63*U64)),IF(R64="Impacto",(N63-(+N63*U64)),IF(R64="Probabilidad",AC63,""))),"")</f>
        <v>0.4</v>
      </c>
      <c r="AD64" s="130" t="str">
        <f t="shared" si="21"/>
        <v>Moderado</v>
      </c>
      <c r="AE64" s="131" t="s">
        <v>135</v>
      </c>
      <c r="AF64" s="132" t="s">
        <v>390</v>
      </c>
      <c r="AG64" s="132" t="s">
        <v>395</v>
      </c>
      <c r="AH64" s="134" t="s">
        <v>362</v>
      </c>
      <c r="AI64" s="134">
        <v>44936</v>
      </c>
      <c r="AJ64" s="132" t="s">
        <v>345</v>
      </c>
      <c r="AK64" s="133" t="s">
        <v>41</v>
      </c>
    </row>
    <row r="65" spans="1:37" ht="76.5" x14ac:dyDescent="0.3">
      <c r="A65" s="236"/>
      <c r="B65" s="250"/>
      <c r="C65" s="226"/>
      <c r="D65" s="240"/>
      <c r="E65" s="241"/>
      <c r="F65" s="224"/>
      <c r="G65" s="226"/>
      <c r="H65" s="228"/>
      <c r="I65" s="230"/>
      <c r="J65" s="232"/>
      <c r="K65" s="234"/>
      <c r="L65" s="232">
        <f>IF(NOT(ISERROR(MATCH(K65,_xlfn.ANCHORARRAY(F157),0))),J159&amp;"Por favor no seleccionar los criterios de impacto",K65)</f>
        <v>0</v>
      </c>
      <c r="M65" s="230"/>
      <c r="N65" s="232"/>
      <c r="O65" s="215"/>
      <c r="P65" s="122">
        <v>3</v>
      </c>
      <c r="Q65" s="135" t="s">
        <v>382</v>
      </c>
      <c r="R65" s="124" t="str">
        <f t="shared" si="22"/>
        <v>Probabilidad</v>
      </c>
      <c r="S65" s="125" t="s">
        <v>14</v>
      </c>
      <c r="T65" s="143" t="s">
        <v>9</v>
      </c>
      <c r="U65" s="126" t="str">
        <f t="shared" si="17"/>
        <v>40%</v>
      </c>
      <c r="V65" s="125" t="s">
        <v>19</v>
      </c>
      <c r="W65" s="143" t="s">
        <v>23</v>
      </c>
      <c r="X65" s="125" t="s">
        <v>118</v>
      </c>
      <c r="Y65" s="127">
        <f>IFERROR(IF(AND(R64="Probabilidad",R65="Probabilidad"),(AA64-(+AA64*U65)),IF(AND(R64="Impacto",R65="Probabilidad"),(AA63-(+AA63*U65)),IF(R65="Impacto",AA64,""))),"")</f>
        <v>0.17279999999999998</v>
      </c>
      <c r="Z65" s="128" t="str">
        <f t="shared" si="18"/>
        <v>Muy Baja</v>
      </c>
      <c r="AA65" s="129">
        <f t="shared" si="19"/>
        <v>0.17279999999999998</v>
      </c>
      <c r="AB65" s="128" t="str">
        <f t="shared" si="20"/>
        <v>Menor</v>
      </c>
      <c r="AC65" s="129">
        <f>IFERROR(IF(AND(R64="Impacto",R65="Impacto"),(AC64-(+AC64*U65)),IF(AND(R64="Probabilidad",R65="Impacto"),(AC63-(+AC63*U65)),IF(R65="Probabilidad",AC64,""))),"")</f>
        <v>0.4</v>
      </c>
      <c r="AD65" s="130" t="str">
        <f t="shared" si="21"/>
        <v>Bajo</v>
      </c>
      <c r="AE65" s="131" t="s">
        <v>135</v>
      </c>
      <c r="AF65" s="132" t="s">
        <v>391</v>
      </c>
      <c r="AG65" s="132" t="s">
        <v>395</v>
      </c>
      <c r="AH65" s="134" t="s">
        <v>362</v>
      </c>
      <c r="AI65" s="134">
        <v>44936</v>
      </c>
      <c r="AJ65" s="132" t="s">
        <v>345</v>
      </c>
      <c r="AK65" s="133" t="s">
        <v>41</v>
      </c>
    </row>
    <row r="66" spans="1:37" ht="76.5" x14ac:dyDescent="0.3">
      <c r="A66" s="236"/>
      <c r="B66" s="250"/>
      <c r="C66" s="226"/>
      <c r="D66" s="240"/>
      <c r="E66" s="241"/>
      <c r="F66" s="224"/>
      <c r="G66" s="226"/>
      <c r="H66" s="228"/>
      <c r="I66" s="230"/>
      <c r="J66" s="232"/>
      <c r="K66" s="234"/>
      <c r="L66" s="232">
        <f>IF(NOT(ISERROR(MATCH(K66,_xlfn.ANCHORARRAY(F158),0))),J160&amp;"Por favor no seleccionar los criterios de impacto",K66)</f>
        <v>0</v>
      </c>
      <c r="M66" s="230"/>
      <c r="N66" s="232"/>
      <c r="O66" s="215"/>
      <c r="P66" s="122">
        <v>4</v>
      </c>
      <c r="Q66" s="123" t="s">
        <v>383</v>
      </c>
      <c r="R66" s="124" t="str">
        <f t="shared" si="22"/>
        <v>Probabilidad</v>
      </c>
      <c r="S66" s="125" t="s">
        <v>14</v>
      </c>
      <c r="T66" s="143" t="s">
        <v>9</v>
      </c>
      <c r="U66" s="126" t="str">
        <f t="shared" si="17"/>
        <v>40%</v>
      </c>
      <c r="V66" s="125" t="s">
        <v>19</v>
      </c>
      <c r="W66" s="143" t="s">
        <v>23</v>
      </c>
      <c r="X66" s="125" t="s">
        <v>118</v>
      </c>
      <c r="Y66" s="127">
        <f>IFERROR(IF(AND(R65="Probabilidad",R66="Probabilidad"),(AA65-(+AA65*U66)),IF(AND(R65="Impacto",R66="Probabilidad"),(AA64-(+AA64*U66)),IF(R66="Impacto",AA65,""))),"")</f>
        <v>0.10367999999999998</v>
      </c>
      <c r="Z66" s="128" t="str">
        <f t="shared" si="18"/>
        <v>Muy Baja</v>
      </c>
      <c r="AA66" s="129">
        <f t="shared" si="19"/>
        <v>0.10367999999999998</v>
      </c>
      <c r="AB66" s="128" t="str">
        <f t="shared" si="20"/>
        <v>Menor</v>
      </c>
      <c r="AC66" s="129">
        <f>IFERROR(IF(AND(R65="Impacto",R66="Impacto"),(AC65-(+AC65*U66)),IF(AND(R65="Probabilidad",R66="Impacto"),(AC64-(+AC64*U66)),IF(R66="Probabilidad",AC65,""))),"")</f>
        <v>0.4</v>
      </c>
      <c r="AD66" s="130" t="str">
        <f t="shared" si="21"/>
        <v>Bajo</v>
      </c>
      <c r="AE66" s="131" t="s">
        <v>135</v>
      </c>
      <c r="AF66" s="132" t="s">
        <v>392</v>
      </c>
      <c r="AG66" s="132" t="s">
        <v>368</v>
      </c>
      <c r="AH66" s="134" t="s">
        <v>397</v>
      </c>
      <c r="AI66" s="134" t="s">
        <v>293</v>
      </c>
      <c r="AJ66" s="132" t="s">
        <v>400</v>
      </c>
      <c r="AK66" s="133" t="s">
        <v>41</v>
      </c>
    </row>
    <row r="67" spans="1:37" ht="76.5" x14ac:dyDescent="0.3">
      <c r="A67" s="236"/>
      <c r="B67" s="250"/>
      <c r="C67" s="226"/>
      <c r="D67" s="240"/>
      <c r="E67" s="241"/>
      <c r="F67" s="224"/>
      <c r="G67" s="226"/>
      <c r="H67" s="228"/>
      <c r="I67" s="230"/>
      <c r="J67" s="232"/>
      <c r="K67" s="234"/>
      <c r="L67" s="232">
        <f>IF(NOT(ISERROR(MATCH(K67,_xlfn.ANCHORARRAY(F159),0))),J161&amp;"Por favor no seleccionar los criterios de impacto",K67)</f>
        <v>0</v>
      </c>
      <c r="M67" s="230"/>
      <c r="N67" s="232"/>
      <c r="O67" s="215"/>
      <c r="P67" s="122">
        <v>5</v>
      </c>
      <c r="Q67" s="123" t="s">
        <v>384</v>
      </c>
      <c r="R67" s="124" t="str">
        <f t="shared" si="22"/>
        <v>Probabilidad</v>
      </c>
      <c r="S67" s="125" t="s">
        <v>14</v>
      </c>
      <c r="T67" s="143" t="s">
        <v>9</v>
      </c>
      <c r="U67" s="126" t="str">
        <f t="shared" si="17"/>
        <v>40%</v>
      </c>
      <c r="V67" s="125" t="s">
        <v>19</v>
      </c>
      <c r="W67" s="143" t="s">
        <v>23</v>
      </c>
      <c r="X67" s="125" t="s">
        <v>118</v>
      </c>
      <c r="Y67" s="127">
        <f>IFERROR(IF(AND(R66="Probabilidad",R67="Probabilidad"),(AA66-(+AA66*U67)),IF(AND(R66="Impacto",R67="Probabilidad"),(AA65-(+AA65*U67)),IF(R67="Impacto",AA66,""))),"")</f>
        <v>6.2207999999999986E-2</v>
      </c>
      <c r="Z67" s="128" t="str">
        <f t="shared" si="18"/>
        <v>Muy Baja</v>
      </c>
      <c r="AA67" s="129">
        <f t="shared" si="19"/>
        <v>6.2207999999999986E-2</v>
      </c>
      <c r="AB67" s="128" t="str">
        <f t="shared" si="20"/>
        <v>Menor</v>
      </c>
      <c r="AC67" s="129">
        <f>IFERROR(IF(AND(R66="Impacto",R67="Impacto"),(AC66-(+AC66*U67)),IF(AND(R66="Probabilidad",R67="Impacto"),(AC65-(+AC65*U67)),IF(R67="Probabilidad",AC66,""))),"")</f>
        <v>0.4</v>
      </c>
      <c r="AD67" s="130" t="str">
        <f t="shared" si="21"/>
        <v>Bajo</v>
      </c>
      <c r="AE67" s="131" t="s">
        <v>135</v>
      </c>
      <c r="AF67" s="132" t="s">
        <v>393</v>
      </c>
      <c r="AG67" s="132" t="s">
        <v>395</v>
      </c>
      <c r="AH67" s="134" t="s">
        <v>362</v>
      </c>
      <c r="AI67" s="134">
        <v>44936</v>
      </c>
      <c r="AJ67" s="132" t="s">
        <v>345</v>
      </c>
      <c r="AK67" s="133" t="s">
        <v>41</v>
      </c>
    </row>
    <row r="68" spans="1:37" ht="76.5" x14ac:dyDescent="0.3">
      <c r="A68" s="237"/>
      <c r="B68" s="251"/>
      <c r="C68" s="252"/>
      <c r="D68" s="242"/>
      <c r="E68" s="243"/>
      <c r="F68" s="255"/>
      <c r="G68" s="252"/>
      <c r="H68" s="256"/>
      <c r="I68" s="257"/>
      <c r="J68" s="259"/>
      <c r="K68" s="258"/>
      <c r="L68" s="259">
        <f>IF(NOT(ISERROR(MATCH(K68,_xlfn.ANCHORARRAY(F160),0))),J162&amp;"Por favor no seleccionar los criterios de impacto",K68)</f>
        <v>0</v>
      </c>
      <c r="M68" s="257"/>
      <c r="N68" s="259"/>
      <c r="O68" s="266"/>
      <c r="P68" s="122">
        <v>6</v>
      </c>
      <c r="Q68" s="123" t="s">
        <v>385</v>
      </c>
      <c r="R68" s="124" t="str">
        <f t="shared" si="22"/>
        <v>Probabilidad</v>
      </c>
      <c r="S68" s="125" t="s">
        <v>14</v>
      </c>
      <c r="T68" s="143" t="s">
        <v>9</v>
      </c>
      <c r="U68" s="126" t="str">
        <f t="shared" si="17"/>
        <v>40%</v>
      </c>
      <c r="V68" s="125" t="s">
        <v>386</v>
      </c>
      <c r="W68" s="143" t="s">
        <v>22</v>
      </c>
      <c r="X68" s="125" t="s">
        <v>118</v>
      </c>
      <c r="Y68" s="127">
        <f>IFERROR(IF(AND(R67="Probabilidad",R68="Probabilidad"),(AA67-(+AA67*U68)),IF(AND(R67="Impacto",R68="Probabilidad"),(AA66-(+AA66*U68)),IF(R68="Impacto",AA67,""))),"")</f>
        <v>3.7324799999999991E-2</v>
      </c>
      <c r="Z68" s="128" t="str">
        <f t="shared" si="18"/>
        <v>Muy Baja</v>
      </c>
      <c r="AA68" s="129">
        <f t="shared" si="19"/>
        <v>3.7324799999999991E-2</v>
      </c>
      <c r="AB68" s="128" t="str">
        <f t="shared" si="20"/>
        <v>Menor</v>
      </c>
      <c r="AC68" s="129">
        <f>IFERROR(IF(AND(R67="Impacto",R68="Impacto"),(AC67-(+AC67*U68)),IF(AND(R67="Probabilidad",R68="Impacto"),(AC66-(+AC66*U68)),IF(R68="Probabilidad",AC67,""))),"")</f>
        <v>0.4</v>
      </c>
      <c r="AD68" s="130" t="str">
        <f t="shared" si="21"/>
        <v>Bajo</v>
      </c>
      <c r="AE68" s="131" t="s">
        <v>135</v>
      </c>
      <c r="AF68" s="132" t="s">
        <v>394</v>
      </c>
      <c r="AG68" s="132" t="s">
        <v>396</v>
      </c>
      <c r="AH68" s="134" t="s">
        <v>398</v>
      </c>
      <c r="AI68" s="134" t="s">
        <v>399</v>
      </c>
      <c r="AJ68" s="132" t="s">
        <v>345</v>
      </c>
      <c r="AK68" s="133" t="s">
        <v>401</v>
      </c>
    </row>
    <row r="69" spans="1:37" ht="33" customHeight="1" x14ac:dyDescent="0.3">
      <c r="A69" s="235">
        <v>20</v>
      </c>
      <c r="B69" s="310" t="s">
        <v>258</v>
      </c>
      <c r="C69" s="225" t="s">
        <v>133</v>
      </c>
      <c r="D69" s="225" t="s">
        <v>255</v>
      </c>
      <c r="E69" s="225" t="s">
        <v>256</v>
      </c>
      <c r="F69" s="223" t="s">
        <v>257</v>
      </c>
      <c r="G69" s="225" t="s">
        <v>122</v>
      </c>
      <c r="H69" s="227">
        <v>57</v>
      </c>
      <c r="I69" s="229" t="str">
        <f>IF(H69&lt;=0,"",IF(H69&lt;=2,"Muy Baja",IF(H69&lt;=15,"Baja",IF(H69&lt;=100,"Media",IF(H69&lt;=1000,"Alta","Muy Alta")))))</f>
        <v>Media</v>
      </c>
      <c r="J69" s="231">
        <f>IF(I69="","",IF(I69="Muy Baja",0.2,IF(I69="Baja",0.4,IF(I69="Media",0.6,IF(I69="Alta",0.8,IF(I69="Muy Alta",1,))))))</f>
        <v>0.6</v>
      </c>
      <c r="K69" s="233" t="s">
        <v>153</v>
      </c>
      <c r="L69" s="231" t="str">
        <f>IF(NOT(ISERROR(MATCH(K69,'Tabla Impacto'!$B$221:$B$223,0))),'Tabla Impacto'!$F$223&amp;"Por favor no seleccionar los criterios de impacto(Afectación Económica o presupuestal y Pérdida Reputacional)",K69)</f>
        <v xml:space="preserve">     El riesgo afecta la imagen de la entidad internamente, de conocimiento general, nivel interno, de junta dircetiva y accionistas y/o de provedores</v>
      </c>
      <c r="M69" s="229" t="str">
        <f>IF(OR(L69='Tabla Impacto'!$C$11,L69='Tabla Impacto'!$D$11),"Leve",IF(OR(L69='Tabla Impacto'!$C$12,L69='Tabla Impacto'!$D$12),"Menor",IF(OR(L69='Tabla Impacto'!$C$13,L69='Tabla Impacto'!$D$13),"Moderado",IF(OR(L69='Tabla Impacto'!$C$14,L69='Tabla Impacto'!$D$14),"Mayor",IF(OR(L69='Tabla Impacto'!$C$15,L69='Tabla Impacto'!$D$15),"Catastrófico","")))))</f>
        <v>Menor</v>
      </c>
      <c r="N69" s="231">
        <f>IF(M69="","",IF(M69="Leve",0.2,IF(M69="Menor",0.4,IF(M69="Moderado",0.6,IF(M69="Mayor",0.8,IF(M69="Catastrófico",1,))))))</f>
        <v>0.4</v>
      </c>
      <c r="O69" s="214" t="str">
        <f>IF(OR(AND(I69="Muy Baja",M69="Leve"),AND(I69="Muy Baja",M69="Menor"),AND(I69="Baja",M69="Leve")),"Bajo",IF(OR(AND(I69="Muy baja",M69="Moderado"),AND(I69="Baja",M69="Menor"),AND(I69="Baja",M69="Moderado"),AND(I69="Media",M69="Leve"),AND(I69="Media",M69="Menor"),AND(I69="Media",M69="Moderado"),AND(I69="Alta",M69="Leve"),AND(I69="Alta",M69="Menor")),"Moderado",IF(OR(AND(I69="Muy Baja",M69="Mayor"),AND(I69="Baja",M69="Mayor"),AND(I69="Media",M69="Mayor"),AND(I69="Alta",M69="Moderado"),AND(I69="Alta",M69="Mayor"),AND(I69="Muy Alta",M69="Leve"),AND(I69="Muy Alta",M69="Menor"),AND(I69="Muy Alta",M69="Moderado"),AND(I69="Muy Alta",M69="Mayor")),"Alto",IF(OR(AND(I69="Muy Baja",M69="Catastrófico"),AND(I69="Baja",M69="Catastrófico"),AND(I69="Media",M69="Catastrófico"),AND(I69="Alta",M69="Catastrófico"),AND(I69="Muy Alta",M69="Catastrófico")),"Extremo",""))))</f>
        <v>Moderado</v>
      </c>
      <c r="P69" s="122">
        <v>1</v>
      </c>
      <c r="Q69" s="123" t="s">
        <v>431</v>
      </c>
      <c r="R69" s="124" t="str">
        <f t="shared" si="22"/>
        <v>Impacto</v>
      </c>
      <c r="S69" s="125" t="s">
        <v>16</v>
      </c>
      <c r="T69" s="125" t="s">
        <v>9</v>
      </c>
      <c r="U69" s="126" t="str">
        <f t="shared" si="17"/>
        <v>25%</v>
      </c>
      <c r="V69" s="125" t="s">
        <v>19</v>
      </c>
      <c r="W69" s="125" t="s">
        <v>23</v>
      </c>
      <c r="X69" s="125" t="s">
        <v>118</v>
      </c>
      <c r="Y69" s="127">
        <f>IFERROR(IF(R69="Probabilidad",(J69-(+J69*U69)),IF(R69="Impacto",J69,"")),"")</f>
        <v>0.6</v>
      </c>
      <c r="Z69" s="128" t="str">
        <f t="shared" si="18"/>
        <v>Media</v>
      </c>
      <c r="AA69" s="129">
        <f t="shared" si="19"/>
        <v>0.6</v>
      </c>
      <c r="AB69" s="128" t="str">
        <f t="shared" si="20"/>
        <v>Menor</v>
      </c>
      <c r="AC69" s="129">
        <f>IFERROR(IF(R69="Impacto",(N69-(+N69*U69)),IF(R69="Probabilidad",N69,"")),"")</f>
        <v>0.30000000000000004</v>
      </c>
      <c r="AD69" s="130" t="str">
        <f t="shared" si="21"/>
        <v>Moderado</v>
      </c>
      <c r="AE69" s="131" t="s">
        <v>135</v>
      </c>
      <c r="AF69" s="132" t="s">
        <v>433</v>
      </c>
      <c r="AG69" s="149" t="s">
        <v>434</v>
      </c>
      <c r="AH69" s="134" t="s">
        <v>398</v>
      </c>
      <c r="AI69" s="134" t="s">
        <v>435</v>
      </c>
      <c r="AJ69" s="134" t="s">
        <v>435</v>
      </c>
      <c r="AK69" s="133" t="s">
        <v>41</v>
      </c>
    </row>
    <row r="70" spans="1:37" ht="76.5" x14ac:dyDescent="0.3">
      <c r="A70" s="236"/>
      <c r="B70" s="311"/>
      <c r="C70" s="226"/>
      <c r="D70" s="226"/>
      <c r="E70" s="226"/>
      <c r="F70" s="224"/>
      <c r="G70" s="226"/>
      <c r="H70" s="228"/>
      <c r="I70" s="230"/>
      <c r="J70" s="232"/>
      <c r="K70" s="234"/>
      <c r="L70" s="232">
        <f>IF(NOT(ISERROR(MATCH(K70,_xlfn.ANCHORARRAY(F75),0))),J77&amp;"Por favor no seleccionar los criterios de impacto",K70)</f>
        <v>0</v>
      </c>
      <c r="M70" s="230"/>
      <c r="N70" s="232"/>
      <c r="O70" s="215"/>
      <c r="P70" s="122">
        <v>2</v>
      </c>
      <c r="Q70" s="123" t="s">
        <v>432</v>
      </c>
      <c r="R70" s="124" t="str">
        <f t="shared" si="22"/>
        <v>Probabilidad</v>
      </c>
      <c r="S70" s="125" t="s">
        <v>14</v>
      </c>
      <c r="T70" s="125" t="s">
        <v>9</v>
      </c>
      <c r="U70" s="126" t="str">
        <f t="shared" si="17"/>
        <v>40%</v>
      </c>
      <c r="V70" s="125" t="s">
        <v>20</v>
      </c>
      <c r="W70" s="125" t="s">
        <v>22</v>
      </c>
      <c r="X70" s="125" t="s">
        <v>119</v>
      </c>
      <c r="Y70" s="127">
        <f>IFERROR(IF(AND(R69="Probabilidad",R70="Probabilidad"),(AA69-(+AA69*U70)),IF(R70="Probabilidad",(J69-(+J69*U70)),IF(R70="Impacto",AA69,""))),"")</f>
        <v>0.36</v>
      </c>
      <c r="Z70" s="128" t="str">
        <f t="shared" si="18"/>
        <v>Baja</v>
      </c>
      <c r="AA70" s="129">
        <f t="shared" si="19"/>
        <v>0.36</v>
      </c>
      <c r="AB70" s="128" t="str">
        <f t="shared" si="20"/>
        <v>Menor</v>
      </c>
      <c r="AC70" s="129">
        <f>IFERROR(IF(AND(R69="Impacto",R70="Impacto"),(AC69-(+AC69*U70)),IF(R70="Impacto",(N69-(+N69*U70)),IF(R70="Probabilidad",AC69,""))),"")</f>
        <v>0.30000000000000004</v>
      </c>
      <c r="AD70" s="130" t="str">
        <f t="shared" si="21"/>
        <v>Moderado</v>
      </c>
      <c r="AE70" s="131" t="s">
        <v>135</v>
      </c>
      <c r="AF70" s="132" t="s">
        <v>436</v>
      </c>
      <c r="AG70" s="149" t="s">
        <v>434</v>
      </c>
      <c r="AH70" s="150" t="s">
        <v>398</v>
      </c>
      <c r="AI70" s="150" t="s">
        <v>435</v>
      </c>
      <c r="AJ70" s="150" t="s">
        <v>435</v>
      </c>
      <c r="AK70" s="133" t="s">
        <v>41</v>
      </c>
    </row>
    <row r="71" spans="1:37" ht="76.5" x14ac:dyDescent="0.3">
      <c r="A71" s="235">
        <v>21</v>
      </c>
      <c r="B71" s="311"/>
      <c r="C71" s="225" t="s">
        <v>132</v>
      </c>
      <c r="D71" s="225" t="s">
        <v>259</v>
      </c>
      <c r="E71" s="225" t="s">
        <v>498</v>
      </c>
      <c r="F71" s="223" t="s">
        <v>262</v>
      </c>
      <c r="G71" s="225" t="s">
        <v>128</v>
      </c>
      <c r="H71" s="227">
        <v>15</v>
      </c>
      <c r="I71" s="229" t="str">
        <f>IF(H71&lt;=0,"",IF(H71&lt;=2,"Muy Baja",IF(H71&lt;=15,"Baja",IF(H71&lt;=100,"Media",IF(H71&lt;=1000,"Alta","Muy Alta")))))</f>
        <v>Baja</v>
      </c>
      <c r="J71" s="231">
        <f>IF(I71="","",IF(I71="Muy Baja",0.2,IF(I71="Baja",0.4,IF(I71="Media",0.6,IF(I71="Alta",0.8,IF(I71="Muy Alta",1,))))))</f>
        <v>0.4</v>
      </c>
      <c r="K71" s="233" t="s">
        <v>151</v>
      </c>
      <c r="L71" s="231" t="str">
        <f>IF(NOT(ISERROR(MATCH(K71,'Tabla Impacto'!$B$221:$B$223,0))),'Tabla Impacto'!$F$223&amp;"Por favor no seleccionar los criterios de impacto(Afectación Económica o presupuestal y Pérdida Reputacional)",K71)</f>
        <v xml:space="preserve">     Mayor a 500 SMLMV </v>
      </c>
      <c r="M71" s="229" t="str">
        <f>IF(OR(L71='Tabla Impacto'!$C$11,L71='Tabla Impacto'!$D$11),"Leve",IF(OR(L71='Tabla Impacto'!$C$12,L71='Tabla Impacto'!$D$12),"Menor",IF(OR(L71='Tabla Impacto'!$C$13,L71='Tabla Impacto'!$D$13),"Moderado",IF(OR(L71='Tabla Impacto'!$C$14,L71='Tabla Impacto'!$D$14),"Mayor",IF(OR(L71='Tabla Impacto'!$C$15,L71='Tabla Impacto'!$D$15),"Catastrófico","")))))</f>
        <v>Catastrófico</v>
      </c>
      <c r="N71" s="231">
        <f>IF(M71="","",IF(M71="Leve",0.2,IF(M71="Menor",0.4,IF(M71="Moderado",0.6,IF(M71="Mayor",0.8,IF(M71="Catastrófico",1,))))))</f>
        <v>1</v>
      </c>
      <c r="O71" s="214" t="str">
        <f>IF(OR(AND(I71="Muy Baja",M71="Leve"),AND(I71="Muy Baja",M71="Menor"),AND(I71="Baja",M71="Leve")),"Bajo",IF(OR(AND(I71="Muy baja",M71="Moderado"),AND(I71="Baja",M71="Menor"),AND(I71="Baja",M71="Moderado"),AND(I71="Media",M71="Leve"),AND(I71="Media",M71="Menor"),AND(I71="Media",M71="Moderado"),AND(I71="Alta",M71="Leve"),AND(I71="Alta",M71="Menor")),"Moderado",IF(OR(AND(I71="Muy Baja",M71="Mayor"),AND(I71="Baja",M71="Mayor"),AND(I71="Media",M71="Mayor"),AND(I71="Alta",M71="Moderado"),AND(I71="Alta",M71="Mayor"),AND(I71="Muy Alta",M71="Leve"),AND(I71="Muy Alta",M71="Menor"),AND(I71="Muy Alta",M71="Moderado"),AND(I71="Muy Alta",M71="Mayor")),"Alto",IF(OR(AND(I71="Muy Baja",M71="Catastrófico"),AND(I71="Baja",M71="Catastrófico"),AND(I71="Media",M71="Catastrófico"),AND(I71="Alta",M71="Catastrófico"),AND(I71="Muy Alta",M71="Catastrófico")),"Extremo",""))))</f>
        <v>Extremo</v>
      </c>
      <c r="P71" s="122">
        <v>1</v>
      </c>
      <c r="Q71" s="123" t="s">
        <v>437</v>
      </c>
      <c r="R71" s="124" t="str">
        <f t="shared" si="22"/>
        <v>Probabilidad</v>
      </c>
      <c r="S71" s="125" t="s">
        <v>14</v>
      </c>
      <c r="T71" s="125" t="s">
        <v>9</v>
      </c>
      <c r="U71" s="126" t="str">
        <f t="shared" si="17"/>
        <v>40%</v>
      </c>
      <c r="V71" s="125" t="s">
        <v>19</v>
      </c>
      <c r="W71" s="125" t="s">
        <v>23</v>
      </c>
      <c r="X71" s="125" t="s">
        <v>119</v>
      </c>
      <c r="Y71" s="127">
        <f>IFERROR(IF(R71="Probabilidad",(J71-(+J71*U71)),IF(R71="Impacto",J71,"")),"")</f>
        <v>0.24</v>
      </c>
      <c r="Z71" s="128" t="str">
        <f t="shared" si="18"/>
        <v>Baja</v>
      </c>
      <c r="AA71" s="129">
        <f t="shared" si="19"/>
        <v>0.24</v>
      </c>
      <c r="AB71" s="128" t="str">
        <f t="shared" si="20"/>
        <v>Catastrófico</v>
      </c>
      <c r="AC71" s="129">
        <f>IFERROR(IF(R71="Impacto",(N71-(+N71*U71)),IF(R71="Probabilidad",N71,"")),"")</f>
        <v>1</v>
      </c>
      <c r="AD71" s="130" t="str">
        <f t="shared" si="21"/>
        <v>Extremo</v>
      </c>
      <c r="AE71" s="131" t="s">
        <v>135</v>
      </c>
      <c r="AF71" s="132" t="s">
        <v>439</v>
      </c>
      <c r="AG71" s="149" t="s">
        <v>440</v>
      </c>
      <c r="AH71" s="150" t="s">
        <v>398</v>
      </c>
      <c r="AI71" s="134"/>
      <c r="AJ71" s="132" t="s">
        <v>357</v>
      </c>
      <c r="AK71" s="133" t="s">
        <v>41</v>
      </c>
    </row>
    <row r="72" spans="1:37" ht="76.5" x14ac:dyDescent="0.3">
      <c r="A72" s="236"/>
      <c r="B72" s="311"/>
      <c r="C72" s="226"/>
      <c r="D72" s="226"/>
      <c r="E72" s="226"/>
      <c r="F72" s="224"/>
      <c r="G72" s="226"/>
      <c r="H72" s="228"/>
      <c r="I72" s="230"/>
      <c r="J72" s="232"/>
      <c r="K72" s="234"/>
      <c r="L72" s="232">
        <f>IF(NOT(ISERROR(MATCH(K72,_xlfn.ANCHORARRAY(F78),0))),J80&amp;"Por favor no seleccionar los criterios de impacto",K72)</f>
        <v>0</v>
      </c>
      <c r="M72" s="230"/>
      <c r="N72" s="232"/>
      <c r="O72" s="215"/>
      <c r="P72" s="122">
        <v>2</v>
      </c>
      <c r="Q72" s="123" t="s">
        <v>441</v>
      </c>
      <c r="R72" s="124" t="str">
        <f t="shared" si="22"/>
        <v>Impacto</v>
      </c>
      <c r="S72" s="125" t="s">
        <v>16</v>
      </c>
      <c r="T72" s="125" t="s">
        <v>9</v>
      </c>
      <c r="U72" s="126" t="str">
        <f t="shared" si="17"/>
        <v>25%</v>
      </c>
      <c r="V72" s="125" t="s">
        <v>19</v>
      </c>
      <c r="W72" s="125" t="s">
        <v>22</v>
      </c>
      <c r="X72" s="125" t="s">
        <v>118</v>
      </c>
      <c r="Y72" s="127">
        <f>IFERROR(IF(AND(R71="Probabilidad",R72="Probabilidad"),(AA71-(+AA71*U72)),IF(R72="Probabilidad",(J71-(+J71*U72)),IF(R72="Impacto",AA71,""))),"")</f>
        <v>0.24</v>
      </c>
      <c r="Z72" s="128" t="str">
        <f t="shared" si="18"/>
        <v>Baja</v>
      </c>
      <c r="AA72" s="129">
        <f t="shared" si="19"/>
        <v>0.24</v>
      </c>
      <c r="AB72" s="128" t="str">
        <f t="shared" si="20"/>
        <v>Mayor</v>
      </c>
      <c r="AC72" s="129">
        <f>IFERROR(IF(AND(R71="Impacto",R72="Impacto"),(AC71-(+AC71*U72)),IF(R72="Impacto",(N71-(+N71*U72)),IF(R72="Probabilidad",AC71,""))),"")</f>
        <v>0.75</v>
      </c>
      <c r="AD72" s="130" t="str">
        <f t="shared" si="21"/>
        <v>Alto</v>
      </c>
      <c r="AE72" s="131" t="s">
        <v>135</v>
      </c>
      <c r="AF72" s="132" t="s">
        <v>442</v>
      </c>
      <c r="AG72" s="149" t="s">
        <v>434</v>
      </c>
      <c r="AH72" s="150" t="s">
        <v>399</v>
      </c>
      <c r="AI72" s="150" t="s">
        <v>407</v>
      </c>
      <c r="AJ72" s="149" t="s">
        <v>357</v>
      </c>
      <c r="AK72" s="145" t="s">
        <v>41</v>
      </c>
    </row>
    <row r="73" spans="1:37" ht="76.5" x14ac:dyDescent="0.3">
      <c r="A73" s="236"/>
      <c r="B73" s="311"/>
      <c r="C73" s="226"/>
      <c r="D73" s="226"/>
      <c r="E73" s="226"/>
      <c r="F73" s="224"/>
      <c r="G73" s="226"/>
      <c r="H73" s="228"/>
      <c r="I73" s="230"/>
      <c r="J73" s="232"/>
      <c r="K73" s="234"/>
      <c r="L73" s="232">
        <f>IF(NOT(ISERROR(MATCH(K73,_xlfn.ANCHORARRAY(F79),0))),J81&amp;"Por favor no seleccionar los criterios de impacto",K73)</f>
        <v>0</v>
      </c>
      <c r="M73" s="230"/>
      <c r="N73" s="232"/>
      <c r="O73" s="215"/>
      <c r="P73" s="122">
        <v>3</v>
      </c>
      <c r="Q73" s="135" t="s">
        <v>438</v>
      </c>
      <c r="R73" s="124" t="str">
        <f t="shared" si="22"/>
        <v>Probabilidad</v>
      </c>
      <c r="S73" s="125" t="s">
        <v>14</v>
      </c>
      <c r="T73" s="125" t="s">
        <v>9</v>
      </c>
      <c r="U73" s="126" t="str">
        <f t="shared" ref="U73:U97" si="23">IF(AND(S73="Preventivo",T73="Automático"),"50%",IF(AND(S73="Preventivo",T73="Manual"),"40%",IF(AND(S73="Detectivo",T73="Automático"),"40%",IF(AND(S73="Detectivo",T73="Manual"),"30%",IF(AND(S73="Correctivo",T73="Automático"),"35%",IF(AND(S73="Correctivo",T73="Manual"),"25%",""))))))</f>
        <v>40%</v>
      </c>
      <c r="V73" s="125" t="s">
        <v>19</v>
      </c>
      <c r="W73" s="125" t="s">
        <v>23</v>
      </c>
      <c r="X73" s="125" t="s">
        <v>118</v>
      </c>
      <c r="Y73" s="127">
        <f>IFERROR(IF(AND(R72="Probabilidad",R73="Probabilidad"),(AA72-(+AA72*U73)),IF(AND(R72="Impacto",R73="Probabilidad"),(AA71-(+AA71*U73)),IF(R73="Impacto",AA72,""))),"")</f>
        <v>0.14399999999999999</v>
      </c>
      <c r="Z73" s="128" t="str">
        <f t="shared" si="18"/>
        <v>Muy Baja</v>
      </c>
      <c r="AA73" s="129">
        <f t="shared" si="19"/>
        <v>0.14399999999999999</v>
      </c>
      <c r="AB73" s="128" t="str">
        <f t="shared" si="20"/>
        <v>Mayor</v>
      </c>
      <c r="AC73" s="129">
        <f>IFERROR(IF(AND(R72="Impacto",R73="Impacto"),(AC72-(+AC72*U73)),IF(AND(R72="Probabilidad",R73="Impacto"),(AC71-(+AC71*U73)),IF(R73="Probabilidad",AC72,""))),"")</f>
        <v>0.75</v>
      </c>
      <c r="AD73" s="130" t="str">
        <f t="shared" ref="AD73:AD97" si="24">IFERROR(IF(OR(AND(Z73="Muy Baja",AB73="Leve"),AND(Z73="Muy Baja",AB73="Menor"),AND(Z73="Baja",AB73="Leve")),"Bajo",IF(OR(AND(Z73="Muy baja",AB73="Moderado"),AND(Z73="Baja",AB73="Menor"),AND(Z73="Baja",AB73="Moderado"),AND(Z73="Media",AB73="Leve"),AND(Z73="Media",AB73="Menor"),AND(Z73="Media",AB73="Moderado"),AND(Z73="Alta",AB73="Leve"),AND(Z73="Alta",AB73="Menor")),"Moderado",IF(OR(AND(Z73="Muy Baja",AB73="Mayor"),AND(Z73="Baja",AB73="Mayor"),AND(Z73="Media",AB73="Mayor"),AND(Z73="Alta",AB73="Moderado"),AND(Z73="Alta",AB73="Mayor"),AND(Z73="Muy Alta",AB73="Leve"),AND(Z73="Muy Alta",AB73="Menor"),AND(Z73="Muy Alta",AB73="Moderado"),AND(Z73="Muy Alta",AB73="Mayor")),"Alto",IF(OR(AND(Z73="Muy Baja",AB73="Catastrófico"),AND(Z73="Baja",AB73="Catastrófico"),AND(Z73="Media",AB73="Catastrófico"),AND(Z73="Alta",AB73="Catastrófico"),AND(Z73="Muy Alta",AB73="Catastrófico")),"Extremo","")))),"")</f>
        <v>Alto</v>
      </c>
      <c r="AE73" s="131" t="s">
        <v>135</v>
      </c>
      <c r="AF73" s="132" t="s">
        <v>444</v>
      </c>
      <c r="AG73" s="149" t="s">
        <v>434</v>
      </c>
      <c r="AH73" s="151" t="s">
        <v>399</v>
      </c>
      <c r="AI73" s="151" t="s">
        <v>446</v>
      </c>
      <c r="AJ73" s="149" t="s">
        <v>346</v>
      </c>
      <c r="AK73" s="145" t="s">
        <v>41</v>
      </c>
    </row>
    <row r="74" spans="1:37" ht="76.5" x14ac:dyDescent="0.3">
      <c r="A74" s="236"/>
      <c r="B74" s="311"/>
      <c r="C74" s="226"/>
      <c r="D74" s="226"/>
      <c r="E74" s="226"/>
      <c r="F74" s="224"/>
      <c r="G74" s="226"/>
      <c r="H74" s="228"/>
      <c r="I74" s="230"/>
      <c r="J74" s="232"/>
      <c r="K74" s="234"/>
      <c r="L74" s="232">
        <f>IF(NOT(ISERROR(MATCH(K74,_xlfn.ANCHORARRAY(F80),0))),J82&amp;"Por favor no seleccionar los criterios de impacto",K74)</f>
        <v>0</v>
      </c>
      <c r="M74" s="230"/>
      <c r="N74" s="232"/>
      <c r="O74" s="215"/>
      <c r="P74" s="122">
        <v>4</v>
      </c>
      <c r="Q74" s="123" t="s">
        <v>443</v>
      </c>
      <c r="R74" s="124" t="str">
        <f t="shared" si="22"/>
        <v>Probabilidad</v>
      </c>
      <c r="S74" s="125" t="s">
        <v>14</v>
      </c>
      <c r="T74" s="125" t="s">
        <v>9</v>
      </c>
      <c r="U74" s="126" t="str">
        <f t="shared" si="23"/>
        <v>40%</v>
      </c>
      <c r="V74" s="125" t="s">
        <v>20</v>
      </c>
      <c r="W74" s="125" t="s">
        <v>23</v>
      </c>
      <c r="X74" s="125" t="s">
        <v>118</v>
      </c>
      <c r="Y74" s="127">
        <f>IFERROR(IF(AND(R73="Probabilidad",R74="Probabilidad"),(AA73-(+AA73*U74)),IF(AND(R73="Impacto",R74="Probabilidad"),(AA72-(+AA72*U74)),IF(R74="Impacto",AA73,""))),"")</f>
        <v>8.6399999999999991E-2</v>
      </c>
      <c r="Z74" s="128" t="str">
        <f t="shared" si="18"/>
        <v>Muy Baja</v>
      </c>
      <c r="AA74" s="129">
        <f t="shared" si="19"/>
        <v>8.6399999999999991E-2</v>
      </c>
      <c r="AB74" s="128" t="str">
        <f t="shared" si="20"/>
        <v>Mayor</v>
      </c>
      <c r="AC74" s="129">
        <f>IFERROR(IF(AND(R73="Impacto",R74="Impacto"),(AC73-(+AC73*U74)),IF(AND(R73="Probabilidad",R74="Impacto"),(AC72-(+AC72*U74)),IF(R74="Probabilidad",AC73,""))),"")</f>
        <v>0.75</v>
      </c>
      <c r="AD74" s="130" t="str">
        <f t="shared" si="24"/>
        <v>Alto</v>
      </c>
      <c r="AE74" s="131" t="s">
        <v>135</v>
      </c>
      <c r="AF74" s="149" t="s">
        <v>445</v>
      </c>
      <c r="AG74" s="149" t="s">
        <v>434</v>
      </c>
      <c r="AH74" s="150" t="s">
        <v>447</v>
      </c>
      <c r="AI74" s="150" t="s">
        <v>447</v>
      </c>
      <c r="AJ74" s="149" t="s">
        <v>448</v>
      </c>
      <c r="AK74" s="145" t="s">
        <v>40</v>
      </c>
    </row>
    <row r="75" spans="1:37" ht="76.5" x14ac:dyDescent="0.3">
      <c r="A75" s="235">
        <v>22</v>
      </c>
      <c r="B75" s="311"/>
      <c r="C75" s="225" t="s">
        <v>132</v>
      </c>
      <c r="D75" s="225" t="s">
        <v>260</v>
      </c>
      <c r="E75" s="225" t="s">
        <v>261</v>
      </c>
      <c r="F75" s="223" t="s">
        <v>263</v>
      </c>
      <c r="G75" s="225" t="s">
        <v>128</v>
      </c>
      <c r="H75" s="227">
        <v>2</v>
      </c>
      <c r="I75" s="229" t="str">
        <f>IF(H75&lt;=0,"",IF(H75&lt;=2,"Muy Baja",IF(H75&lt;=15,"Baja",IF(H75&lt;=100,"Media",IF(H75&lt;=1000,"Alta","Muy Alta")))))</f>
        <v>Muy Baja</v>
      </c>
      <c r="J75" s="231">
        <f>IF(I75="","",IF(I75="Muy Baja",0.2,IF(I75="Baja",0.4,IF(I75="Media",0.6,IF(I75="Alta",0.8,IF(I75="Muy Alta",1,))))))</f>
        <v>0.2</v>
      </c>
      <c r="K75" s="233" t="s">
        <v>150</v>
      </c>
      <c r="L75" s="231" t="str">
        <f>IF(NOT(ISERROR(MATCH(K75,'Tabla Impacto'!$B$221:$B$223,0))),'Tabla Impacto'!$F$223&amp;"Por favor no seleccionar los criterios de impacto(Afectación Económica o presupuestal y Pérdida Reputacional)",K75)</f>
        <v xml:space="preserve">     Entre 100 y 500 SMLMV </v>
      </c>
      <c r="M75" s="229" t="str">
        <f>IF(OR(L75='Tabla Impacto'!$C$11,L75='Tabla Impacto'!$D$11),"Leve",IF(OR(L75='Tabla Impacto'!$C$12,L75='Tabla Impacto'!$D$12),"Menor",IF(OR(L75='Tabla Impacto'!$C$13,L75='Tabla Impacto'!$D$13),"Moderado",IF(OR(L75='Tabla Impacto'!$C$14,L75='Tabla Impacto'!$D$14),"Mayor",IF(OR(L75='Tabla Impacto'!$C$15,L75='Tabla Impacto'!$D$15),"Catastrófico","")))))</f>
        <v>Mayor</v>
      </c>
      <c r="N75" s="231">
        <f>IF(M75="","",IF(M75="Leve",0.2,IF(M75="Menor",0.4,IF(M75="Moderado",0.6,IF(M75="Mayor",0.8,IF(M75="Catastrófico",1,))))))</f>
        <v>0.8</v>
      </c>
      <c r="O75" s="214" t="str">
        <f>IF(OR(AND(I75="Muy Baja",M75="Leve"),AND(I75="Muy Baja",M75="Menor"),AND(I75="Baja",M75="Leve")),"Bajo",IF(OR(AND(I75="Muy baja",M75="Moderado"),AND(I75="Baja",M75="Menor"),AND(I75="Baja",M75="Moderado"),AND(I75="Media",M75="Leve"),AND(I75="Media",M75="Menor"),AND(I75="Media",M75="Moderado"),AND(I75="Alta",M75="Leve"),AND(I75="Alta",M75="Menor")),"Moderado",IF(OR(AND(I75="Muy Baja",M75="Mayor"),AND(I75="Baja",M75="Mayor"),AND(I75="Media",M75="Mayor"),AND(I75="Alta",M75="Moderado"),AND(I75="Alta",M75="Mayor"),AND(I75="Muy Alta",M75="Leve"),AND(I75="Muy Alta",M75="Menor"),AND(I75="Muy Alta",M75="Moderado"),AND(I75="Muy Alta",M75="Mayor")),"Alto",IF(OR(AND(I75="Muy Baja",M75="Catastrófico"),AND(I75="Baja",M75="Catastrófico"),AND(I75="Media",M75="Catastrófico"),AND(I75="Alta",M75="Catastrófico"),AND(I75="Muy Alta",M75="Catastrófico")),"Extremo",""))))</f>
        <v>Alto</v>
      </c>
      <c r="P75" s="122">
        <v>1</v>
      </c>
      <c r="Q75" s="123" t="s">
        <v>456</v>
      </c>
      <c r="R75" s="124" t="str">
        <f t="shared" si="22"/>
        <v>Impacto</v>
      </c>
      <c r="S75" s="125" t="s">
        <v>16</v>
      </c>
      <c r="T75" s="125" t="s">
        <v>9</v>
      </c>
      <c r="U75" s="126" t="str">
        <f t="shared" si="23"/>
        <v>25%</v>
      </c>
      <c r="V75" s="125" t="s">
        <v>19</v>
      </c>
      <c r="W75" s="125" t="s">
        <v>23</v>
      </c>
      <c r="X75" s="125" t="s">
        <v>118</v>
      </c>
      <c r="Y75" s="127">
        <f>IFERROR(IF(R75="Probabilidad",(J75-(+J75*U75)),IF(R75="Impacto",J75,"")),"")</f>
        <v>0.2</v>
      </c>
      <c r="Z75" s="128" t="str">
        <f t="shared" si="18"/>
        <v>Muy Baja</v>
      </c>
      <c r="AA75" s="129">
        <f t="shared" si="19"/>
        <v>0.2</v>
      </c>
      <c r="AB75" s="128" t="str">
        <f t="shared" si="20"/>
        <v>Moderado</v>
      </c>
      <c r="AC75" s="129">
        <f>IFERROR(IF(R75="Impacto",(N75-(+N75*U75)),IF(R75="Probabilidad",N75,"")),"")</f>
        <v>0.60000000000000009</v>
      </c>
      <c r="AD75" s="130" t="str">
        <f t="shared" si="24"/>
        <v>Moderado</v>
      </c>
      <c r="AE75" s="131" t="s">
        <v>135</v>
      </c>
      <c r="AF75" s="132" t="s">
        <v>451</v>
      </c>
      <c r="AG75" s="149" t="s">
        <v>449</v>
      </c>
      <c r="AH75" s="134" t="s">
        <v>398</v>
      </c>
      <c r="AI75" s="134" t="s">
        <v>450</v>
      </c>
      <c r="AJ75" s="132" t="s">
        <v>448</v>
      </c>
      <c r="AK75" s="133" t="s">
        <v>41</v>
      </c>
    </row>
    <row r="76" spans="1:37" ht="76.5" x14ac:dyDescent="0.3">
      <c r="A76" s="236"/>
      <c r="B76" s="311"/>
      <c r="C76" s="226"/>
      <c r="D76" s="226"/>
      <c r="E76" s="226"/>
      <c r="F76" s="224"/>
      <c r="G76" s="226"/>
      <c r="H76" s="228"/>
      <c r="I76" s="230"/>
      <c r="J76" s="232"/>
      <c r="K76" s="234"/>
      <c r="L76" s="232">
        <f>IF(NOT(ISERROR(MATCH(K76,_xlfn.ANCHORARRAY(F174),0))),J176&amp;"Por favor no seleccionar los criterios de impacto",K76)</f>
        <v>0</v>
      </c>
      <c r="M76" s="230"/>
      <c r="N76" s="232"/>
      <c r="O76" s="215"/>
      <c r="P76" s="122">
        <v>2</v>
      </c>
      <c r="Q76" s="123" t="s">
        <v>455</v>
      </c>
      <c r="R76" s="124" t="str">
        <f t="shared" si="22"/>
        <v>Probabilidad</v>
      </c>
      <c r="S76" s="125" t="s">
        <v>14</v>
      </c>
      <c r="T76" s="125" t="s">
        <v>10</v>
      </c>
      <c r="U76" s="126" t="str">
        <f t="shared" si="23"/>
        <v>50%</v>
      </c>
      <c r="V76" s="125" t="s">
        <v>19</v>
      </c>
      <c r="W76" s="125" t="s">
        <v>22</v>
      </c>
      <c r="X76" s="125" t="s">
        <v>118</v>
      </c>
      <c r="Y76" s="127">
        <f>IFERROR(IF(AND(R75="Probabilidad",R76="Probabilidad"),(AA75-(+AA75*U76)),IF(R76="Probabilidad",(J75-(+J75*U76)),IF(R76="Impacto",AA75,""))),"")</f>
        <v>0.1</v>
      </c>
      <c r="Z76" s="128" t="str">
        <f t="shared" si="18"/>
        <v>Muy Baja</v>
      </c>
      <c r="AA76" s="129">
        <f t="shared" si="19"/>
        <v>0.1</v>
      </c>
      <c r="AB76" s="128" t="str">
        <f t="shared" si="20"/>
        <v>Moderado</v>
      </c>
      <c r="AC76" s="129">
        <f>IFERROR(IF(AND(R75="Impacto",R76="Impacto"),(AC75-(+AC75*U76)),IF(R76="Impacto",(N75-(+N75*U76)),IF(R76="Probabilidad",AC75,""))),"")</f>
        <v>0.60000000000000009</v>
      </c>
      <c r="AD76" s="130" t="str">
        <f t="shared" si="24"/>
        <v>Moderado</v>
      </c>
      <c r="AE76" s="131" t="s">
        <v>135</v>
      </c>
      <c r="AF76" s="132" t="s">
        <v>452</v>
      </c>
      <c r="AG76" s="149" t="s">
        <v>453</v>
      </c>
      <c r="AH76" s="134" t="s">
        <v>454</v>
      </c>
      <c r="AI76" s="134">
        <v>2022</v>
      </c>
      <c r="AJ76" s="132" t="s">
        <v>448</v>
      </c>
      <c r="AK76" s="133" t="s">
        <v>40</v>
      </c>
    </row>
    <row r="77" spans="1:37" ht="76.5" x14ac:dyDescent="0.3">
      <c r="A77" s="236"/>
      <c r="B77" s="311"/>
      <c r="C77" s="226"/>
      <c r="D77" s="226"/>
      <c r="E77" s="226"/>
      <c r="F77" s="224"/>
      <c r="G77" s="226"/>
      <c r="H77" s="228"/>
      <c r="I77" s="230"/>
      <c r="J77" s="232"/>
      <c r="K77" s="234"/>
      <c r="L77" s="232">
        <f>IF(NOT(ISERROR(MATCH(K77,_xlfn.ANCHORARRAY(F175),0))),J177&amp;"Por favor no seleccionar los criterios de impacto",K77)</f>
        <v>0</v>
      </c>
      <c r="M77" s="230"/>
      <c r="N77" s="232"/>
      <c r="O77" s="215"/>
      <c r="P77" s="122">
        <v>3</v>
      </c>
      <c r="Q77" s="135" t="s">
        <v>457</v>
      </c>
      <c r="R77" s="124" t="str">
        <f t="shared" si="22"/>
        <v>Probabilidad</v>
      </c>
      <c r="S77" s="125" t="s">
        <v>14</v>
      </c>
      <c r="T77" s="125" t="s">
        <v>10</v>
      </c>
      <c r="U77" s="126" t="str">
        <f t="shared" si="23"/>
        <v>50%</v>
      </c>
      <c r="V77" s="125" t="s">
        <v>19</v>
      </c>
      <c r="W77" s="125" t="s">
        <v>23</v>
      </c>
      <c r="X77" s="125" t="s">
        <v>118</v>
      </c>
      <c r="Y77" s="127">
        <f>IFERROR(IF(AND(R76="Probabilidad",R77="Probabilidad"),(AA76-(+AA76*U77)),IF(AND(R76="Impacto",R77="Probabilidad"),(AA75-(+AA75*U77)),IF(R77="Impacto",AA76,""))),"")</f>
        <v>0.05</v>
      </c>
      <c r="Z77" s="128" t="str">
        <f t="shared" si="18"/>
        <v>Muy Baja</v>
      </c>
      <c r="AA77" s="129">
        <f t="shared" si="19"/>
        <v>0.05</v>
      </c>
      <c r="AB77" s="128" t="str">
        <f t="shared" si="20"/>
        <v>Moderado</v>
      </c>
      <c r="AC77" s="129">
        <f>IFERROR(IF(AND(R76="Impacto",R77="Impacto"),(AC76-(+AC76*U77)),IF(AND(R76="Probabilidad",R77="Impacto"),(AC75-(+AC75*U77)),IF(R77="Probabilidad",AC76,""))),"")</f>
        <v>0.60000000000000009</v>
      </c>
      <c r="AD77" s="130" t="str">
        <f t="shared" si="24"/>
        <v>Moderado</v>
      </c>
      <c r="AE77" s="131" t="s">
        <v>135</v>
      </c>
      <c r="AF77" s="132" t="s">
        <v>458</v>
      </c>
      <c r="AG77" s="149" t="s">
        <v>453</v>
      </c>
      <c r="AH77" s="134" t="s">
        <v>398</v>
      </c>
      <c r="AI77" s="134"/>
      <c r="AJ77" s="132" t="s">
        <v>448</v>
      </c>
      <c r="AK77" s="133" t="s">
        <v>41</v>
      </c>
    </row>
    <row r="78" spans="1:37" ht="76.5" x14ac:dyDescent="0.3">
      <c r="A78" s="235">
        <v>23</v>
      </c>
      <c r="B78" s="311"/>
      <c r="C78" s="225" t="s">
        <v>131</v>
      </c>
      <c r="D78" s="225" t="s">
        <v>264</v>
      </c>
      <c r="E78" s="225" t="s">
        <v>265</v>
      </c>
      <c r="F78" s="223" t="s">
        <v>266</v>
      </c>
      <c r="G78" s="225" t="s">
        <v>122</v>
      </c>
      <c r="H78" s="227">
        <v>15</v>
      </c>
      <c r="I78" s="229" t="str">
        <f>IF(H78&lt;=0,"",IF(H78&lt;=2,"Muy Baja",IF(H78&lt;=15,"Baja",IF(H78&lt;=100,"Media",IF(H78&lt;=1000,"Alta","Muy Alta")))))</f>
        <v>Baja</v>
      </c>
      <c r="J78" s="231">
        <f>IF(I78="","",IF(I78="Muy Baja",0.2,IF(I78="Baja",0.4,IF(I78="Media",0.6,IF(I78="Alta",0.8,IF(I78="Muy Alta",1,))))))</f>
        <v>0.4</v>
      </c>
      <c r="K78" s="233" t="s">
        <v>152</v>
      </c>
      <c r="L78" s="231" t="str">
        <f>IF(NOT(ISERROR(MATCH(K78,'Tabla Impacto'!$B$221:$B$223,0))),'Tabla Impacto'!$F$223&amp;"Por favor no seleccionar los criterios de impacto(Afectación Económica o presupuestal y Pérdida Reputacional)",K78)</f>
        <v xml:space="preserve">     El riesgo afecta la imagen de alguna área de la organización</v>
      </c>
      <c r="M78" s="229" t="str">
        <f>IF(OR(L78='Tabla Impacto'!$C$11,L78='Tabla Impacto'!$D$11),"Leve",IF(OR(L78='Tabla Impacto'!$C$12,L78='Tabla Impacto'!$D$12),"Menor",IF(OR(L78='Tabla Impacto'!$C$13,L78='Tabla Impacto'!$D$13),"Moderado",IF(OR(L78='Tabla Impacto'!$C$14,L78='Tabla Impacto'!$D$14),"Mayor",IF(OR(L78='Tabla Impacto'!$C$15,L78='Tabla Impacto'!$D$15),"Catastrófico","")))))</f>
        <v>Leve</v>
      </c>
      <c r="N78" s="231">
        <f>IF(M78="","",IF(M78="Leve",0.2,IF(M78="Menor",0.4,IF(M78="Moderado",0.6,IF(M78="Mayor",0.8,IF(M78="Catastrófico",1,))))))</f>
        <v>0.2</v>
      </c>
      <c r="O78" s="214" t="str">
        <f>IF(OR(AND(I78="Muy Baja",M78="Leve"),AND(I78="Muy Baja",M78="Menor"),AND(I78="Baja",M78="Leve")),"Bajo",IF(OR(AND(I78="Muy baja",M78="Moderado"),AND(I78="Baja",M78="Menor"),AND(I78="Baja",M78="Moderado"),AND(I78="Media",M78="Leve"),AND(I78="Media",M78="Menor"),AND(I78="Media",M78="Moderado"),AND(I78="Alta",M78="Leve"),AND(I78="Alta",M78="Menor")),"Moderado",IF(OR(AND(I78="Muy Baja",M78="Mayor"),AND(I78="Baja",M78="Mayor"),AND(I78="Media",M78="Mayor"),AND(I78="Alta",M78="Moderado"),AND(I78="Alta",M78="Mayor"),AND(I78="Muy Alta",M78="Leve"),AND(I78="Muy Alta",M78="Menor"),AND(I78="Muy Alta",M78="Moderado"),AND(I78="Muy Alta",M78="Mayor")),"Alto",IF(OR(AND(I78="Muy Baja",M78="Catastrófico"),AND(I78="Baja",M78="Catastrófico"),AND(I78="Media",M78="Catastrófico"),AND(I78="Alta",M78="Catastrófico"),AND(I78="Muy Alta",M78="Catastrófico")),"Extremo",""))))</f>
        <v>Bajo</v>
      </c>
      <c r="P78" s="122">
        <v>1</v>
      </c>
      <c r="Q78" s="123" t="s">
        <v>459</v>
      </c>
      <c r="R78" s="124" t="str">
        <f t="shared" si="22"/>
        <v>Probabilidad</v>
      </c>
      <c r="S78" s="125" t="s">
        <v>14</v>
      </c>
      <c r="T78" s="125" t="s">
        <v>10</v>
      </c>
      <c r="U78" s="126" t="str">
        <f t="shared" si="23"/>
        <v>50%</v>
      </c>
      <c r="V78" s="125" t="s">
        <v>19</v>
      </c>
      <c r="W78" s="125" t="s">
        <v>22</v>
      </c>
      <c r="X78" s="125" t="s">
        <v>118</v>
      </c>
      <c r="Y78" s="127">
        <f>IFERROR(IF(R78="Probabilidad",(J78-(+J78*U78)),IF(R78="Impacto",J78,"")),"")</f>
        <v>0.2</v>
      </c>
      <c r="Z78" s="128" t="str">
        <f t="shared" si="18"/>
        <v>Muy Baja</v>
      </c>
      <c r="AA78" s="129">
        <f t="shared" si="19"/>
        <v>0.2</v>
      </c>
      <c r="AB78" s="128" t="str">
        <f t="shared" si="20"/>
        <v>Leve</v>
      </c>
      <c r="AC78" s="129">
        <f>IFERROR(IF(R78="Impacto",(N78-(+N78*U78)),IF(R78="Probabilidad",N78,"")),"")</f>
        <v>0.2</v>
      </c>
      <c r="AD78" s="130" t="str">
        <f t="shared" si="24"/>
        <v>Bajo</v>
      </c>
      <c r="AE78" s="131" t="s">
        <v>135</v>
      </c>
      <c r="AF78" s="132" t="s">
        <v>464</v>
      </c>
      <c r="AG78" s="149" t="s">
        <v>465</v>
      </c>
      <c r="AH78" s="134" t="s">
        <v>398</v>
      </c>
      <c r="AI78" s="134" t="s">
        <v>471</v>
      </c>
      <c r="AJ78" s="132" t="s">
        <v>470</v>
      </c>
      <c r="AK78" s="133" t="s">
        <v>40</v>
      </c>
    </row>
    <row r="79" spans="1:37" ht="76.5" x14ac:dyDescent="0.3">
      <c r="A79" s="236"/>
      <c r="B79" s="311"/>
      <c r="C79" s="226"/>
      <c r="D79" s="226"/>
      <c r="E79" s="226"/>
      <c r="F79" s="224"/>
      <c r="G79" s="226"/>
      <c r="H79" s="228"/>
      <c r="I79" s="230"/>
      <c r="J79" s="232"/>
      <c r="K79" s="234"/>
      <c r="L79" s="232">
        <f>IF(NOT(ISERROR(MATCH(K79,_xlfn.ANCHORARRAY(F180),0))),J182&amp;"Por favor no seleccionar los criterios de impacto",K79)</f>
        <v>0</v>
      </c>
      <c r="M79" s="230"/>
      <c r="N79" s="232"/>
      <c r="O79" s="215"/>
      <c r="P79" s="122">
        <v>2</v>
      </c>
      <c r="Q79" s="123" t="s">
        <v>460</v>
      </c>
      <c r="R79" s="124" t="str">
        <f t="shared" si="22"/>
        <v>Probabilidad</v>
      </c>
      <c r="S79" s="125" t="s">
        <v>14</v>
      </c>
      <c r="T79" s="125" t="s">
        <v>10</v>
      </c>
      <c r="U79" s="126" t="str">
        <f t="shared" si="23"/>
        <v>50%</v>
      </c>
      <c r="V79" s="125" t="s">
        <v>19</v>
      </c>
      <c r="W79" s="125" t="s">
        <v>22</v>
      </c>
      <c r="X79" s="125" t="s">
        <v>118</v>
      </c>
      <c r="Y79" s="127">
        <f>IFERROR(IF(AND(R78="Probabilidad",R79="Probabilidad"),(AA78-(+AA78*U79)),IF(R79="Probabilidad",(J78-(+J78*U79)),IF(R79="Impacto",AA78,""))),"")</f>
        <v>0.1</v>
      </c>
      <c r="Z79" s="128" t="str">
        <f t="shared" si="18"/>
        <v>Muy Baja</v>
      </c>
      <c r="AA79" s="129">
        <f t="shared" si="19"/>
        <v>0.1</v>
      </c>
      <c r="AB79" s="128" t="str">
        <f t="shared" si="20"/>
        <v>Leve</v>
      </c>
      <c r="AC79" s="129">
        <f>IFERROR(IF(AND(R78="Impacto",R79="Impacto"),(AC78-(+AC78*U79)),IF(R79="Impacto",(N78-(+N78*U79)),IF(R79="Probabilidad",AC78,""))),"")</f>
        <v>0.2</v>
      </c>
      <c r="AD79" s="130" t="str">
        <f t="shared" si="24"/>
        <v>Bajo</v>
      </c>
      <c r="AE79" s="131" t="s">
        <v>135</v>
      </c>
      <c r="AF79" s="132" t="s">
        <v>466</v>
      </c>
      <c r="AG79" s="149" t="s">
        <v>465</v>
      </c>
      <c r="AH79" s="134" t="s">
        <v>398</v>
      </c>
      <c r="AI79" s="151" t="s">
        <v>472</v>
      </c>
      <c r="AJ79" s="132" t="s">
        <v>357</v>
      </c>
      <c r="AK79" s="133" t="s">
        <v>40</v>
      </c>
    </row>
    <row r="80" spans="1:37" ht="76.5" x14ac:dyDescent="0.3">
      <c r="A80" s="236"/>
      <c r="B80" s="311"/>
      <c r="C80" s="226"/>
      <c r="D80" s="226"/>
      <c r="E80" s="226"/>
      <c r="F80" s="224"/>
      <c r="G80" s="226"/>
      <c r="H80" s="228"/>
      <c r="I80" s="230"/>
      <c r="J80" s="232"/>
      <c r="K80" s="234"/>
      <c r="L80" s="232">
        <f>IF(NOT(ISERROR(MATCH(K80,_xlfn.ANCHORARRAY(F181),0))),J183&amp;"Por favor no seleccionar los criterios de impacto",K80)</f>
        <v>0</v>
      </c>
      <c r="M80" s="230"/>
      <c r="N80" s="232"/>
      <c r="O80" s="215"/>
      <c r="P80" s="122">
        <v>3</v>
      </c>
      <c r="Q80" s="135" t="s">
        <v>461</v>
      </c>
      <c r="R80" s="124" t="str">
        <f t="shared" si="22"/>
        <v>Probabilidad</v>
      </c>
      <c r="S80" s="125" t="s">
        <v>14</v>
      </c>
      <c r="T80" s="125" t="s">
        <v>10</v>
      </c>
      <c r="U80" s="126" t="str">
        <f t="shared" si="23"/>
        <v>50%</v>
      </c>
      <c r="V80" s="125" t="s">
        <v>19</v>
      </c>
      <c r="W80" s="125" t="s">
        <v>22</v>
      </c>
      <c r="X80" s="125" t="s">
        <v>118</v>
      </c>
      <c r="Y80" s="127">
        <f>IFERROR(IF(AND(R79="Probabilidad",R80="Probabilidad"),(AA79-(+AA79*U80)),IF(AND(R79="Impacto",R80="Probabilidad"),(AA78-(+AA78*U80)),IF(R80="Impacto",AA79,""))),"")</f>
        <v>0.05</v>
      </c>
      <c r="Z80" s="128" t="str">
        <f t="shared" si="18"/>
        <v>Muy Baja</v>
      </c>
      <c r="AA80" s="129">
        <f t="shared" si="19"/>
        <v>0.05</v>
      </c>
      <c r="AB80" s="128" t="str">
        <f t="shared" si="20"/>
        <v>Leve</v>
      </c>
      <c r="AC80" s="129">
        <f>IFERROR(IF(AND(R79="Impacto",R80="Impacto"),(AC79-(+AC79*U80)),IF(AND(R79="Probabilidad",R80="Impacto"),(AC78-(+AC78*U80)),IF(R80="Probabilidad",AC79,""))),"")</f>
        <v>0.2</v>
      </c>
      <c r="AD80" s="130" t="str">
        <f t="shared" si="24"/>
        <v>Bajo</v>
      </c>
      <c r="AE80" s="131" t="s">
        <v>135</v>
      </c>
      <c r="AF80" s="132" t="s">
        <v>467</v>
      </c>
      <c r="AG80" s="149" t="s">
        <v>465</v>
      </c>
      <c r="AH80" s="134" t="s">
        <v>398</v>
      </c>
      <c r="AI80" s="134" t="s">
        <v>471</v>
      </c>
      <c r="AJ80" s="132" t="s">
        <v>470</v>
      </c>
      <c r="AK80" s="133" t="s">
        <v>40</v>
      </c>
    </row>
    <row r="81" spans="1:37" ht="76.5" x14ac:dyDescent="0.3">
      <c r="A81" s="236"/>
      <c r="B81" s="311"/>
      <c r="C81" s="226"/>
      <c r="D81" s="226"/>
      <c r="E81" s="226"/>
      <c r="F81" s="224"/>
      <c r="G81" s="226"/>
      <c r="H81" s="228"/>
      <c r="I81" s="230"/>
      <c r="J81" s="232"/>
      <c r="K81" s="234"/>
      <c r="L81" s="232">
        <f>IF(NOT(ISERROR(MATCH(K81,_xlfn.ANCHORARRAY(F182),0))),J184&amp;"Por favor no seleccionar los criterios de impacto",K81)</f>
        <v>0</v>
      </c>
      <c r="M81" s="230"/>
      <c r="N81" s="232"/>
      <c r="O81" s="215"/>
      <c r="P81" s="122">
        <v>4</v>
      </c>
      <c r="Q81" s="123" t="s">
        <v>463</v>
      </c>
      <c r="R81" s="124" t="str">
        <f t="shared" si="22"/>
        <v>Probabilidad</v>
      </c>
      <c r="S81" s="125" t="s">
        <v>14</v>
      </c>
      <c r="T81" s="125" t="s">
        <v>10</v>
      </c>
      <c r="U81" s="126" t="str">
        <f t="shared" si="23"/>
        <v>50%</v>
      </c>
      <c r="V81" s="125" t="s">
        <v>19</v>
      </c>
      <c r="W81" s="125" t="s">
        <v>22</v>
      </c>
      <c r="X81" s="125" t="s">
        <v>118</v>
      </c>
      <c r="Y81" s="127">
        <f>IFERROR(IF(AND(R80="Probabilidad",R81="Probabilidad"),(AA80-(+AA80*U81)),IF(AND(R80="Impacto",R81="Probabilidad"),(AA79-(+AA79*U81)),IF(R81="Impacto",AA80,""))),"")</f>
        <v>2.5000000000000001E-2</v>
      </c>
      <c r="Z81" s="128" t="str">
        <f t="shared" si="18"/>
        <v>Muy Baja</v>
      </c>
      <c r="AA81" s="129">
        <f t="shared" si="19"/>
        <v>2.5000000000000001E-2</v>
      </c>
      <c r="AB81" s="128" t="str">
        <f t="shared" si="20"/>
        <v>Leve</v>
      </c>
      <c r="AC81" s="129">
        <f>IFERROR(IF(AND(R80="Impacto",R81="Impacto"),(AC80-(+AC80*U81)),IF(AND(R80="Probabilidad",R81="Impacto"),(AC79-(+AC79*U81)),IF(R81="Probabilidad",AC80,""))),"")</f>
        <v>0.2</v>
      </c>
      <c r="AD81" s="130" t="str">
        <f t="shared" si="24"/>
        <v>Bajo</v>
      </c>
      <c r="AE81" s="131" t="s">
        <v>135</v>
      </c>
      <c r="AF81" s="132" t="s">
        <v>468</v>
      </c>
      <c r="AG81" s="149" t="s">
        <v>465</v>
      </c>
      <c r="AH81" s="134" t="s">
        <v>398</v>
      </c>
      <c r="AI81" s="134" t="s">
        <v>471</v>
      </c>
      <c r="AJ81" s="132" t="s">
        <v>470</v>
      </c>
      <c r="AK81" s="133" t="s">
        <v>40</v>
      </c>
    </row>
    <row r="82" spans="1:37" ht="76.5" x14ac:dyDescent="0.3">
      <c r="A82" s="236"/>
      <c r="B82" s="311"/>
      <c r="C82" s="226"/>
      <c r="D82" s="226"/>
      <c r="E82" s="226"/>
      <c r="F82" s="224"/>
      <c r="G82" s="226"/>
      <c r="H82" s="228"/>
      <c r="I82" s="230"/>
      <c r="J82" s="232"/>
      <c r="K82" s="234"/>
      <c r="L82" s="232">
        <f>IF(NOT(ISERROR(MATCH(K82,_xlfn.ANCHORARRAY(F183),0))),J185&amp;"Por favor no seleccionar los criterios de impacto",K82)</f>
        <v>0</v>
      </c>
      <c r="M82" s="230"/>
      <c r="N82" s="232"/>
      <c r="O82" s="215"/>
      <c r="P82" s="122">
        <v>5</v>
      </c>
      <c r="Q82" s="123" t="s">
        <v>462</v>
      </c>
      <c r="R82" s="124" t="str">
        <f t="shared" si="22"/>
        <v>Probabilidad</v>
      </c>
      <c r="S82" s="125" t="s">
        <v>14</v>
      </c>
      <c r="T82" s="125" t="s">
        <v>10</v>
      </c>
      <c r="U82" s="126" t="str">
        <f t="shared" si="23"/>
        <v>50%</v>
      </c>
      <c r="V82" s="125" t="s">
        <v>19</v>
      </c>
      <c r="W82" s="125" t="s">
        <v>22</v>
      </c>
      <c r="X82" s="125" t="s">
        <v>118</v>
      </c>
      <c r="Y82" s="127">
        <f>IFERROR(IF(AND(R81="Probabilidad",R82="Probabilidad"),(AA81-(+AA81*U82)),IF(AND(R81="Impacto",R82="Probabilidad"),(AA80-(+AA80*U82)),IF(R82="Impacto",AA81,""))),"")</f>
        <v>1.2500000000000001E-2</v>
      </c>
      <c r="Z82" s="128" t="str">
        <f t="shared" si="18"/>
        <v>Muy Baja</v>
      </c>
      <c r="AA82" s="129">
        <f t="shared" si="19"/>
        <v>1.2500000000000001E-2</v>
      </c>
      <c r="AB82" s="128" t="str">
        <f t="shared" si="20"/>
        <v>Leve</v>
      </c>
      <c r="AC82" s="129">
        <f>IFERROR(IF(AND(R81="Impacto",R82="Impacto"),(AC81-(+AC81*U82)),IF(AND(R81="Probabilidad",R82="Impacto"),(AC80-(+AC80*U82)),IF(R82="Probabilidad",AC81,""))),"")</f>
        <v>0.2</v>
      </c>
      <c r="AD82" s="130" t="str">
        <f t="shared" si="24"/>
        <v>Bajo</v>
      </c>
      <c r="AE82" s="131" t="s">
        <v>135</v>
      </c>
      <c r="AF82" s="132" t="s">
        <v>469</v>
      </c>
      <c r="AG82" s="149" t="s">
        <v>465</v>
      </c>
      <c r="AH82" s="134" t="s">
        <v>398</v>
      </c>
      <c r="AI82" s="151" t="s">
        <v>472</v>
      </c>
      <c r="AJ82" s="132" t="s">
        <v>357</v>
      </c>
      <c r="AK82" s="133" t="s">
        <v>40</v>
      </c>
    </row>
    <row r="83" spans="1:37" ht="37.5" customHeight="1" x14ac:dyDescent="0.3">
      <c r="A83" s="235">
        <v>24</v>
      </c>
      <c r="B83" s="244" t="s">
        <v>269</v>
      </c>
      <c r="C83" s="225" t="s">
        <v>132</v>
      </c>
      <c r="D83" s="260" t="s">
        <v>267</v>
      </c>
      <c r="E83" s="261"/>
      <c r="F83" s="223" t="s">
        <v>268</v>
      </c>
      <c r="G83" s="225" t="s">
        <v>122</v>
      </c>
      <c r="H83" s="227">
        <v>365</v>
      </c>
      <c r="I83" s="229" t="str">
        <f>IF(H83&lt;=0,"",IF(H83&lt;=2,"Muy Baja",IF(H83&lt;=15,"Baja",IF(H83&lt;=100,"Media",IF(H83&lt;=1000,"Alta","Muy Alta")))))</f>
        <v>Alta</v>
      </c>
      <c r="J83" s="231">
        <v>0.8</v>
      </c>
      <c r="K83" s="233" t="s">
        <v>148</v>
      </c>
      <c r="L83" s="231" t="str">
        <f>IF(NOT(ISERROR(MATCH(K83,'Tabla Impacto'!$B$221:$B$223,0))),'Tabla Impacto'!$F$223&amp;"Por favor no seleccionar los criterios de impacto(Afectación Económica o presupuestal y Pérdida Reputacional)",K83)</f>
        <v xml:space="preserve">     Entre 50 y 100 SMLMV </v>
      </c>
      <c r="M83" s="229" t="str">
        <f>IF(OR(L83='Tabla Impacto'!$C$11,L83='Tabla Impacto'!$D$11),"Leve",IF(OR(L83='Tabla Impacto'!$C$12,L83='Tabla Impacto'!$D$12),"Menor",IF(OR(L83='Tabla Impacto'!$C$13,L83='Tabla Impacto'!$D$13),"Moderado",IF(OR(L83='Tabla Impacto'!$C$14,L83='Tabla Impacto'!$D$14),"Mayor",IF(OR(L83='Tabla Impacto'!$C$15,L83='Tabla Impacto'!$D$15),"Catastrófico","")))))</f>
        <v>Moderado</v>
      </c>
      <c r="N83" s="231">
        <f>IF(M83="","",IF(M83="Leve",0.2,IF(M83="Menor",0.4,IF(M83="Moderado",0.6,IF(M83="Mayor",0.8,IF(M83="Catastrófico",1,))))))</f>
        <v>0.6</v>
      </c>
      <c r="O83" s="214" t="str">
        <f>IF(OR(AND(I83="Muy Baja",M83="Leve"),AND(I83="Muy Baja",M83="Menor"),AND(I83="Baja",M83="Leve")),"Bajo",IF(OR(AND(I83="Muy baja",M83="Moderado"),AND(I83="Baja",M83="Menor"),AND(I83="Baja",M83="Moderado"),AND(I83="Media",M83="Leve"),AND(I83="Media",M83="Menor"),AND(I83="Media",M83="Moderado"),AND(I83="Alta",M83="Leve"),AND(I83="Alta",M83="Menor")),"Moderado",IF(OR(AND(I83="Muy Baja",M83="Mayor"),AND(I83="Baja",M83="Mayor"),AND(I83="Media",M83="Mayor"),AND(I83="Alta",M83="Moderado"),AND(I83="Alta",M83="Mayor"),AND(I83="Muy Alta",M83="Leve"),AND(I83="Muy Alta",M83="Menor"),AND(I83="Muy Alta",M83="Moderado"),AND(I83="Muy Alta",M83="Mayor")),"Alto",IF(OR(AND(I83="Muy Baja",M83="Catastrófico"),AND(I83="Baja",M83="Catastrófico"),AND(I83="Media",M83="Catastrófico"),AND(I83="Alta",M83="Catastrófico"),AND(I83="Muy Alta",M83="Catastrófico")),"Extremo",""))))</f>
        <v>Alto</v>
      </c>
      <c r="P83" s="122">
        <v>1</v>
      </c>
      <c r="Q83" s="123" t="s">
        <v>420</v>
      </c>
      <c r="R83" s="124" t="str">
        <f t="shared" ref="R83:R114" si="25">IF(OR(S83="Preventivo",S83="Detectivo"),"Probabilidad",IF(S83="Correctivo","Impacto",""))</f>
        <v>Probabilidad</v>
      </c>
      <c r="S83" s="125" t="s">
        <v>14</v>
      </c>
      <c r="T83" s="125" t="s">
        <v>9</v>
      </c>
      <c r="U83" s="126" t="str">
        <f t="shared" si="23"/>
        <v>40%</v>
      </c>
      <c r="V83" s="125" t="s">
        <v>19</v>
      </c>
      <c r="W83" s="125" t="s">
        <v>22</v>
      </c>
      <c r="X83" s="125" t="s">
        <v>118</v>
      </c>
      <c r="Y83" s="127">
        <f>IFERROR(IF(R83="Probabilidad",(J83-(+J83*U83)),IF(R83="Impacto",J83,"")),"")</f>
        <v>0.48</v>
      </c>
      <c r="Z83" s="128" t="s">
        <v>422</v>
      </c>
      <c r="AA83" s="129">
        <v>0.6</v>
      </c>
      <c r="AB83" s="128" t="s">
        <v>424</v>
      </c>
      <c r="AC83" s="129">
        <v>0.6</v>
      </c>
      <c r="AD83" s="130" t="str">
        <f t="shared" si="24"/>
        <v/>
      </c>
      <c r="AE83" s="131" t="s">
        <v>135</v>
      </c>
      <c r="AF83" s="132" t="s">
        <v>425</v>
      </c>
      <c r="AG83" s="133" t="s">
        <v>428</v>
      </c>
      <c r="AH83" s="134" t="s">
        <v>398</v>
      </c>
      <c r="AI83" s="134" t="s">
        <v>409</v>
      </c>
      <c r="AJ83" s="132" t="s">
        <v>430</v>
      </c>
      <c r="AK83" s="133" t="s">
        <v>41</v>
      </c>
    </row>
    <row r="84" spans="1:37" ht="76.5" x14ac:dyDescent="0.3">
      <c r="A84" s="236"/>
      <c r="B84" s="244"/>
      <c r="C84" s="226"/>
      <c r="D84" s="262"/>
      <c r="E84" s="263"/>
      <c r="F84" s="224"/>
      <c r="G84" s="226"/>
      <c r="H84" s="228"/>
      <c r="I84" s="230"/>
      <c r="J84" s="232"/>
      <c r="K84" s="234"/>
      <c r="L84" s="232">
        <f>IF(NOT(ISERROR(MATCH(K84,_xlfn.ANCHORARRAY(F186),0))),J188&amp;"Por favor no seleccionar los criterios de impacto",K84)</f>
        <v>0</v>
      </c>
      <c r="M84" s="230"/>
      <c r="N84" s="232"/>
      <c r="O84" s="215"/>
      <c r="P84" s="122">
        <v>2</v>
      </c>
      <c r="Q84" s="123" t="s">
        <v>426</v>
      </c>
      <c r="R84" s="124" t="str">
        <f t="shared" si="25"/>
        <v>Impacto</v>
      </c>
      <c r="S84" s="125" t="s">
        <v>16</v>
      </c>
      <c r="T84" s="125" t="s">
        <v>9</v>
      </c>
      <c r="U84" s="126" t="str">
        <f t="shared" si="23"/>
        <v>25%</v>
      </c>
      <c r="V84" s="125" t="s">
        <v>19</v>
      </c>
      <c r="W84" s="125" t="s">
        <v>23</v>
      </c>
      <c r="X84" s="125" t="s">
        <v>118</v>
      </c>
      <c r="Y84" s="127">
        <f>IFERROR(IF(AND(R83="Probabilidad",R84="Probabilidad"),(AA83-(+AA83*U84)),IF(R84="Probabilidad",(J83-(+J83*U84)),IF(R84="Impacto",AA83,""))),"")</f>
        <v>0.6</v>
      </c>
      <c r="Z84" s="128" t="s">
        <v>423</v>
      </c>
      <c r="AA84" s="129">
        <v>0.6</v>
      </c>
      <c r="AB84" s="128" t="s">
        <v>424</v>
      </c>
      <c r="AC84" s="129">
        <v>0.6</v>
      </c>
      <c r="AD84" s="130" t="str">
        <f t="shared" si="24"/>
        <v/>
      </c>
      <c r="AE84" s="131" t="s">
        <v>135</v>
      </c>
      <c r="AF84" s="132" t="s">
        <v>427</v>
      </c>
      <c r="AG84" s="133" t="s">
        <v>428</v>
      </c>
      <c r="AH84" s="134" t="s">
        <v>429</v>
      </c>
      <c r="AI84" s="134" t="s">
        <v>409</v>
      </c>
      <c r="AJ84" s="132" t="s">
        <v>430</v>
      </c>
      <c r="AK84" s="133" t="s">
        <v>41</v>
      </c>
    </row>
    <row r="85" spans="1:37" ht="76.5" x14ac:dyDescent="0.3">
      <c r="A85" s="236"/>
      <c r="B85" s="244"/>
      <c r="C85" s="226"/>
      <c r="D85" s="262"/>
      <c r="E85" s="263"/>
      <c r="F85" s="224"/>
      <c r="G85" s="226"/>
      <c r="H85" s="228"/>
      <c r="I85" s="230"/>
      <c r="J85" s="232"/>
      <c r="K85" s="234"/>
      <c r="L85" s="232">
        <f>IF(NOT(ISERROR(MATCH(K85,_xlfn.ANCHORARRAY(F187),0))),J189&amp;"Por favor no seleccionar los criterios de impacto",K85)</f>
        <v>0</v>
      </c>
      <c r="M85" s="230"/>
      <c r="N85" s="232"/>
      <c r="O85" s="215"/>
      <c r="P85" s="122">
        <v>3</v>
      </c>
      <c r="Q85" s="123" t="s">
        <v>421</v>
      </c>
      <c r="R85" s="124" t="str">
        <f t="shared" si="25"/>
        <v>Impacto</v>
      </c>
      <c r="S85" s="125" t="s">
        <v>16</v>
      </c>
      <c r="T85" s="125" t="s">
        <v>9</v>
      </c>
      <c r="U85" s="126" t="str">
        <f t="shared" si="23"/>
        <v>25%</v>
      </c>
      <c r="V85" s="125" t="s">
        <v>19</v>
      </c>
      <c r="W85" s="125" t="s">
        <v>23</v>
      </c>
      <c r="X85" s="125" t="s">
        <v>118</v>
      </c>
      <c r="Y85" s="127">
        <f>IFERROR(IF(AND(R84="Probabilidad",R85="Probabilidad"),(AA84-(+AA84*U85)),IF(AND(R84="Impacto",R85="Probabilidad"),(AA83-(+AA83*U85)),IF(R85="Impacto",AA84,""))),"")</f>
        <v>0.6</v>
      </c>
      <c r="Z85" s="128" t="s">
        <v>422</v>
      </c>
      <c r="AA85" s="129">
        <v>0.6</v>
      </c>
      <c r="AB85" s="128" t="s">
        <v>424</v>
      </c>
      <c r="AC85" s="129">
        <v>0.6</v>
      </c>
      <c r="AD85" s="130" t="str">
        <f t="shared" si="24"/>
        <v/>
      </c>
      <c r="AE85" s="131" t="s">
        <v>135</v>
      </c>
      <c r="AF85" s="132" t="s">
        <v>427</v>
      </c>
      <c r="AG85" s="133" t="s">
        <v>428</v>
      </c>
      <c r="AH85" s="134" t="s">
        <v>429</v>
      </c>
      <c r="AI85" s="134" t="s">
        <v>409</v>
      </c>
      <c r="AJ85" s="132" t="s">
        <v>430</v>
      </c>
      <c r="AK85" s="133" t="s">
        <v>41</v>
      </c>
    </row>
    <row r="86" spans="1:37" ht="25.5" customHeight="1" x14ac:dyDescent="0.3">
      <c r="A86" s="235">
        <v>25</v>
      </c>
      <c r="B86" s="245" t="s">
        <v>272</v>
      </c>
      <c r="C86" s="225" t="s">
        <v>131</v>
      </c>
      <c r="D86" s="260" t="s">
        <v>273</v>
      </c>
      <c r="E86" s="261"/>
      <c r="F86" s="223" t="s">
        <v>274</v>
      </c>
      <c r="G86" s="225" t="s">
        <v>122</v>
      </c>
      <c r="H86" s="227">
        <v>20</v>
      </c>
      <c r="I86" s="229" t="str">
        <f>IF(H86&lt;=0,"",IF(H86&lt;=2,"Muy Baja",IF(H86&lt;=15,"Baja",IF(H86&lt;=100,"Media",IF(H86&lt;=1000,"Alta","Muy Alta")))))</f>
        <v>Media</v>
      </c>
      <c r="J86" s="231">
        <v>0.6</v>
      </c>
      <c r="K86" s="233" t="s">
        <v>154</v>
      </c>
      <c r="L86" s="231" t="str">
        <f>IF(NOT(ISERROR(MATCH(K86,'Tabla Impacto'!$B$221:$B$223,0))),'Tabla Impacto'!$F$223&amp;"Por favor no seleccionar los criterios de impacto(Afectación Económica o presupuestal y Pérdida Reputacional)",K86)</f>
        <v xml:space="preserve">     El riesgo afecta la imagen de la entidad con algunos usuarios de relevancia frente al logro de los objetivos</v>
      </c>
      <c r="M86" s="229" t="str">
        <f>IF(OR(L86='Tabla Impacto'!$C$11,L86='Tabla Impacto'!$D$11),"Leve",IF(OR(L86='Tabla Impacto'!$C$12,L86='Tabla Impacto'!$D$12),"Menor",IF(OR(L86='Tabla Impacto'!$C$13,L86='Tabla Impacto'!$D$13),"Moderado",IF(OR(L86='Tabla Impacto'!$C$14,L86='Tabla Impacto'!$D$14),"Mayor",IF(OR(L86='Tabla Impacto'!$C$15,L86='Tabla Impacto'!$D$15),"Catastrófico","")))))</f>
        <v>Moderado</v>
      </c>
      <c r="N86" s="231">
        <f>IF(M86="","",IF(M86="Leve",0.2,IF(M86="Menor",0.4,IF(M86="Moderado",0.6,IF(M86="Mayor",0.8,IF(M86="Catastrófico",1,))))))</f>
        <v>0.6</v>
      </c>
      <c r="O86" s="214" t="str">
        <f>IF(OR(AND(I86="Muy Baja",M86="Leve"),AND(I86="Muy Baja",M86="Menor"),AND(I86="Baja",M86="Leve")),"Bajo",IF(OR(AND(I86="Muy baja",M86="Moderado"),AND(I86="Baja",M86="Menor"),AND(I86="Baja",M86="Moderado"),AND(I86="Media",M86="Leve"),AND(I86="Media",M86="Menor"),AND(I86="Media",M86="Moderado"),AND(I86="Alta",M86="Leve"),AND(I86="Alta",M86="Menor")),"Moderado",IF(OR(AND(I86="Muy Baja",M86="Mayor"),AND(I86="Baja",M86="Mayor"),AND(I86="Media",M86="Mayor"),AND(I86="Alta",M86="Moderado"),AND(I86="Alta",M86="Mayor"),AND(I86="Muy Alta",M86="Leve"),AND(I86="Muy Alta",M86="Menor"),AND(I86="Muy Alta",M86="Moderado"),AND(I86="Muy Alta",M86="Mayor")),"Alto",IF(OR(AND(I86="Muy Baja",M86="Catastrófico"),AND(I86="Baja",M86="Catastrófico"),AND(I86="Media",M86="Catastrófico"),AND(I86="Alta",M86="Catastrófico"),AND(I86="Muy Alta",M86="Catastrófico")),"Extremo",""))))</f>
        <v>Moderado</v>
      </c>
      <c r="P86" s="122">
        <v>1</v>
      </c>
      <c r="Q86" s="123" t="s">
        <v>474</v>
      </c>
      <c r="R86" s="124" t="str">
        <f t="shared" si="25"/>
        <v>Impacto</v>
      </c>
      <c r="S86" s="125" t="s">
        <v>16</v>
      </c>
      <c r="T86" s="125" t="s">
        <v>9</v>
      </c>
      <c r="U86" s="126" t="str">
        <f t="shared" si="23"/>
        <v>25%</v>
      </c>
      <c r="V86" s="125" t="s">
        <v>19</v>
      </c>
      <c r="W86" s="125" t="s">
        <v>22</v>
      </c>
      <c r="X86" s="125" t="s">
        <v>118</v>
      </c>
      <c r="Y86" s="127">
        <f>IFERROR(IF(R86="Probabilidad",(J86-(+J86*U86)),IF(R86="Impacto",J86,"")),"")</f>
        <v>0.6</v>
      </c>
      <c r="Z86" s="128" t="str">
        <f t="shared" ref="Z86:Z97" si="26">IFERROR(IF(Y86="","",IF(Y86&lt;=0.2,"Muy Baja",IF(Y86&lt;=0.4,"Baja",IF(Y86&lt;=0.6,"Media",IF(Y86&lt;=0.8,"Alta","Muy Alta"))))),"")</f>
        <v>Media</v>
      </c>
      <c r="AA86" s="129">
        <f t="shared" ref="AA86:AA97" si="27">+Y86</f>
        <v>0.6</v>
      </c>
      <c r="AB86" s="128" t="str">
        <f t="shared" ref="AB86:AB97" si="28">IFERROR(IF(AC86="","",IF(AC86&lt;=0.2,"Leve",IF(AC86&lt;=0.4,"Menor",IF(AC86&lt;=0.6,"Moderado",IF(AC86&lt;=0.8,"Mayor","Catastrófico"))))),"")</f>
        <v>Moderado</v>
      </c>
      <c r="AC86" s="129">
        <f>IFERROR(IF(R86="Impacto",(N86-(+N86*U86)),IF(R86="Probabilidad",N86,"")),"")</f>
        <v>0.44999999999999996</v>
      </c>
      <c r="AD86" s="130" t="str">
        <f t="shared" si="24"/>
        <v>Moderado</v>
      </c>
      <c r="AE86" s="131" t="s">
        <v>135</v>
      </c>
      <c r="AF86" s="132" t="s">
        <v>475</v>
      </c>
      <c r="AG86" s="133" t="s">
        <v>476</v>
      </c>
      <c r="AH86" s="134"/>
      <c r="AI86" s="134"/>
      <c r="AJ86" s="132"/>
      <c r="AK86" s="133" t="s">
        <v>41</v>
      </c>
    </row>
    <row r="87" spans="1:37" x14ac:dyDescent="0.3">
      <c r="A87" s="236"/>
      <c r="B87" s="245"/>
      <c r="C87" s="226"/>
      <c r="D87" s="262"/>
      <c r="E87" s="263"/>
      <c r="F87" s="224"/>
      <c r="G87" s="226"/>
      <c r="H87" s="228"/>
      <c r="I87" s="230"/>
      <c r="J87" s="232"/>
      <c r="K87" s="234"/>
      <c r="L87" s="232">
        <f>IF(NOT(ISERROR(MATCH(K87,_xlfn.ANCHORARRAY(F192),0))),J194&amp;"Por favor no seleccionar los criterios de impacto",K87)</f>
        <v>0</v>
      </c>
      <c r="M87" s="230"/>
      <c r="N87" s="232"/>
      <c r="O87" s="215"/>
      <c r="P87" s="122">
        <v>2</v>
      </c>
      <c r="Q87" s="123"/>
      <c r="R87" s="124" t="str">
        <f t="shared" si="25"/>
        <v/>
      </c>
      <c r="S87" s="125"/>
      <c r="T87" s="125"/>
      <c r="U87" s="126" t="str">
        <f t="shared" si="23"/>
        <v/>
      </c>
      <c r="V87" s="125"/>
      <c r="W87" s="125"/>
      <c r="X87" s="125"/>
      <c r="Y87" s="127" t="str">
        <f>IFERROR(IF(AND(R86="Probabilidad",R87="Probabilidad"),(AA86-(+AA86*U87)),IF(R87="Probabilidad",(J86-(+J86*U87)),IF(R87="Impacto",AA86,""))),"")</f>
        <v/>
      </c>
      <c r="Z87" s="128" t="str">
        <f t="shared" si="26"/>
        <v/>
      </c>
      <c r="AA87" s="129" t="str">
        <f t="shared" si="27"/>
        <v/>
      </c>
      <c r="AB87" s="128" t="str">
        <f t="shared" si="28"/>
        <v/>
      </c>
      <c r="AC87" s="129" t="str">
        <f>IFERROR(IF(AND(R86="Impacto",R87="Impacto"),(AC86-(+AC86*U87)),IF(R87="Impacto",(N86-(+N86*U87)),IF(R87="Probabilidad",AC86,""))),"")</f>
        <v/>
      </c>
      <c r="AD87" s="130" t="str">
        <f t="shared" si="24"/>
        <v/>
      </c>
      <c r="AE87" s="131"/>
      <c r="AF87" s="132"/>
      <c r="AG87" s="133"/>
      <c r="AH87" s="134"/>
      <c r="AI87" s="134"/>
      <c r="AJ87" s="132"/>
      <c r="AK87" s="133"/>
    </row>
    <row r="88" spans="1:37" x14ac:dyDescent="0.3">
      <c r="A88" s="236"/>
      <c r="B88" s="245"/>
      <c r="C88" s="226"/>
      <c r="D88" s="262"/>
      <c r="E88" s="263"/>
      <c r="F88" s="224"/>
      <c r="G88" s="226"/>
      <c r="H88" s="228"/>
      <c r="I88" s="230"/>
      <c r="J88" s="232"/>
      <c r="K88" s="234"/>
      <c r="L88" s="232">
        <f>IF(NOT(ISERROR(MATCH(K88,_xlfn.ANCHORARRAY(F193),0))),J195&amp;"Por favor no seleccionar los criterios de impacto",K88)</f>
        <v>0</v>
      </c>
      <c r="M88" s="230"/>
      <c r="N88" s="232"/>
      <c r="O88" s="215"/>
      <c r="P88" s="122">
        <v>3</v>
      </c>
      <c r="Q88" s="135"/>
      <c r="R88" s="124" t="str">
        <f t="shared" si="25"/>
        <v/>
      </c>
      <c r="S88" s="125"/>
      <c r="T88" s="125"/>
      <c r="U88" s="126" t="str">
        <f t="shared" si="23"/>
        <v/>
      </c>
      <c r="V88" s="125"/>
      <c r="W88" s="125"/>
      <c r="X88" s="125"/>
      <c r="Y88" s="127" t="str">
        <f>IFERROR(IF(AND(R87="Probabilidad",R88="Probabilidad"),(AA87-(+AA87*U88)),IF(AND(R87="Impacto",R88="Probabilidad"),(AA86-(+AA86*U88)),IF(R88="Impacto",AA87,""))),"")</f>
        <v/>
      </c>
      <c r="Z88" s="128" t="str">
        <f t="shared" si="26"/>
        <v/>
      </c>
      <c r="AA88" s="129" t="str">
        <f t="shared" si="27"/>
        <v/>
      </c>
      <c r="AB88" s="128" t="str">
        <f t="shared" si="28"/>
        <v/>
      </c>
      <c r="AC88" s="129" t="str">
        <f>IFERROR(IF(AND(R87="Impacto",R88="Impacto"),(AC87-(+AC87*U88)),IF(AND(R87="Probabilidad",R88="Impacto"),(AC86-(+AC86*U88)),IF(R88="Probabilidad",AC87,""))),"")</f>
        <v/>
      </c>
      <c r="AD88" s="130" t="str">
        <f t="shared" si="24"/>
        <v/>
      </c>
      <c r="AE88" s="131"/>
      <c r="AF88" s="132"/>
      <c r="AG88" s="133"/>
      <c r="AH88" s="134"/>
      <c r="AI88" s="134"/>
      <c r="AJ88" s="132"/>
      <c r="AK88" s="133"/>
    </row>
    <row r="89" spans="1:37" x14ac:dyDescent="0.3">
      <c r="A89" s="236"/>
      <c r="B89" s="245"/>
      <c r="C89" s="226"/>
      <c r="D89" s="262"/>
      <c r="E89" s="263"/>
      <c r="F89" s="224"/>
      <c r="G89" s="226"/>
      <c r="H89" s="228"/>
      <c r="I89" s="230"/>
      <c r="J89" s="232"/>
      <c r="K89" s="234"/>
      <c r="L89" s="232">
        <f>IF(NOT(ISERROR(MATCH(K89,_xlfn.ANCHORARRAY(F194),0))),J196&amp;"Por favor no seleccionar los criterios de impacto",K89)</f>
        <v>0</v>
      </c>
      <c r="M89" s="230"/>
      <c r="N89" s="232"/>
      <c r="O89" s="215"/>
      <c r="P89" s="122">
        <v>4</v>
      </c>
      <c r="Q89" s="123"/>
      <c r="R89" s="124" t="str">
        <f t="shared" si="25"/>
        <v/>
      </c>
      <c r="S89" s="125"/>
      <c r="T89" s="125"/>
      <c r="U89" s="126" t="str">
        <f t="shared" si="23"/>
        <v/>
      </c>
      <c r="V89" s="125"/>
      <c r="W89" s="125"/>
      <c r="X89" s="125"/>
      <c r="Y89" s="127" t="str">
        <f>IFERROR(IF(AND(R88="Probabilidad",R89="Probabilidad"),(AA88-(+AA88*U89)),IF(AND(R88="Impacto",R89="Probabilidad"),(AA87-(+AA87*U89)),IF(R89="Impacto",AA88,""))),"")</f>
        <v/>
      </c>
      <c r="Z89" s="128" t="str">
        <f t="shared" si="26"/>
        <v/>
      </c>
      <c r="AA89" s="129" t="str">
        <f t="shared" si="27"/>
        <v/>
      </c>
      <c r="AB89" s="128" t="str">
        <f t="shared" si="28"/>
        <v/>
      </c>
      <c r="AC89" s="129" t="str">
        <f>IFERROR(IF(AND(R88="Impacto",R89="Impacto"),(AC88-(+AC88*U89)),IF(AND(R88="Probabilidad",R89="Impacto"),(AC87-(+AC87*U89)),IF(R89="Probabilidad",AC88,""))),"")</f>
        <v/>
      </c>
      <c r="AD89" s="130" t="str">
        <f t="shared" si="24"/>
        <v/>
      </c>
      <c r="AE89" s="131"/>
      <c r="AF89" s="132"/>
      <c r="AG89" s="133"/>
      <c r="AH89" s="134"/>
      <c r="AI89" s="134"/>
      <c r="AJ89" s="132"/>
      <c r="AK89" s="133"/>
    </row>
    <row r="90" spans="1:37" x14ac:dyDescent="0.3">
      <c r="A90" s="236"/>
      <c r="B90" s="245"/>
      <c r="C90" s="226"/>
      <c r="D90" s="262"/>
      <c r="E90" s="263"/>
      <c r="F90" s="224"/>
      <c r="G90" s="226"/>
      <c r="H90" s="228"/>
      <c r="I90" s="230"/>
      <c r="J90" s="232"/>
      <c r="K90" s="234"/>
      <c r="L90" s="232">
        <f>IF(NOT(ISERROR(MATCH(K90,_xlfn.ANCHORARRAY(F195),0))),J197&amp;"Por favor no seleccionar los criterios de impacto",K90)</f>
        <v>0</v>
      </c>
      <c r="M90" s="230"/>
      <c r="N90" s="232"/>
      <c r="O90" s="215"/>
      <c r="P90" s="122">
        <v>5</v>
      </c>
      <c r="Q90" s="123"/>
      <c r="R90" s="124" t="str">
        <f t="shared" si="25"/>
        <v/>
      </c>
      <c r="S90" s="125"/>
      <c r="T90" s="125"/>
      <c r="U90" s="126" t="str">
        <f t="shared" si="23"/>
        <v/>
      </c>
      <c r="V90" s="125"/>
      <c r="W90" s="125"/>
      <c r="X90" s="125"/>
      <c r="Y90" s="127" t="str">
        <f>IFERROR(IF(AND(R89="Probabilidad",R90="Probabilidad"),(AA89-(+AA89*U90)),IF(AND(R89="Impacto",R90="Probabilidad"),(AA88-(+AA88*U90)),IF(R90="Impacto",AA89,""))),"")</f>
        <v/>
      </c>
      <c r="Z90" s="128" t="str">
        <f t="shared" si="26"/>
        <v/>
      </c>
      <c r="AA90" s="129" t="str">
        <f t="shared" si="27"/>
        <v/>
      </c>
      <c r="AB90" s="128" t="str">
        <f t="shared" si="28"/>
        <v/>
      </c>
      <c r="AC90" s="129" t="str">
        <f>IFERROR(IF(AND(R89="Impacto",R90="Impacto"),(AC89-(+AC89*U90)),IF(AND(R89="Probabilidad",R90="Impacto"),(AC88-(+AC88*U90)),IF(R90="Probabilidad",AC89,""))),"")</f>
        <v/>
      </c>
      <c r="AD90" s="130" t="str">
        <f t="shared" si="24"/>
        <v/>
      </c>
      <c r="AE90" s="131"/>
      <c r="AF90" s="132"/>
      <c r="AG90" s="133"/>
      <c r="AH90" s="134"/>
      <c r="AI90" s="134"/>
      <c r="AJ90" s="132"/>
      <c r="AK90" s="133"/>
    </row>
    <row r="91" spans="1:37" ht="22.5" customHeight="1" x14ac:dyDescent="0.3">
      <c r="A91" s="237"/>
      <c r="B91" s="245"/>
      <c r="C91" s="252"/>
      <c r="D91" s="264"/>
      <c r="E91" s="265"/>
      <c r="F91" s="255"/>
      <c r="G91" s="252"/>
      <c r="H91" s="256"/>
      <c r="I91" s="257"/>
      <c r="J91" s="259"/>
      <c r="K91" s="258"/>
      <c r="L91" s="259">
        <f>IF(NOT(ISERROR(MATCH(K91,_xlfn.ANCHORARRAY(F196),0))),J198&amp;"Por favor no seleccionar los criterios de impacto",K91)</f>
        <v>0</v>
      </c>
      <c r="M91" s="257"/>
      <c r="N91" s="259"/>
      <c r="O91" s="266"/>
      <c r="P91" s="122">
        <v>6</v>
      </c>
      <c r="Q91" s="123"/>
      <c r="R91" s="124" t="str">
        <f t="shared" si="25"/>
        <v/>
      </c>
      <c r="S91" s="125"/>
      <c r="T91" s="125"/>
      <c r="U91" s="126" t="str">
        <f t="shared" si="23"/>
        <v/>
      </c>
      <c r="V91" s="125"/>
      <c r="W91" s="125"/>
      <c r="X91" s="125"/>
      <c r="Y91" s="127" t="str">
        <f>IFERROR(IF(AND(R90="Probabilidad",R91="Probabilidad"),(AA90-(+AA90*U91)),IF(AND(R90="Impacto",R91="Probabilidad"),(AA89-(+AA89*U91)),IF(R91="Impacto",AA90,""))),"")</f>
        <v/>
      </c>
      <c r="Z91" s="128" t="str">
        <f t="shared" si="26"/>
        <v/>
      </c>
      <c r="AA91" s="129" t="str">
        <f t="shared" si="27"/>
        <v/>
      </c>
      <c r="AB91" s="128" t="str">
        <f t="shared" si="28"/>
        <v/>
      </c>
      <c r="AC91" s="129" t="str">
        <f>IFERROR(IF(AND(R90="Impacto",R91="Impacto"),(AC90-(+AC90*U91)),IF(AND(R90="Probabilidad",R91="Impacto"),(AC89-(+AC89*U91)),IF(R91="Probabilidad",AC90,""))),"")</f>
        <v/>
      </c>
      <c r="AD91" s="130" t="str">
        <f t="shared" si="24"/>
        <v/>
      </c>
      <c r="AE91" s="131"/>
      <c r="AF91" s="132"/>
      <c r="AG91" s="133"/>
      <c r="AH91" s="134"/>
      <c r="AI91" s="134"/>
      <c r="AJ91" s="132"/>
      <c r="AK91" s="133"/>
    </row>
    <row r="92" spans="1:37" ht="16.5" customHeight="1" x14ac:dyDescent="0.3">
      <c r="A92" s="235">
        <v>26</v>
      </c>
      <c r="B92" s="245"/>
      <c r="C92" s="225" t="s">
        <v>133</v>
      </c>
      <c r="D92" s="260" t="s">
        <v>275</v>
      </c>
      <c r="E92" s="261"/>
      <c r="F92" s="223" t="s">
        <v>276</v>
      </c>
      <c r="G92" s="225" t="s">
        <v>124</v>
      </c>
      <c r="H92" s="227">
        <v>15</v>
      </c>
      <c r="I92" s="229" t="str">
        <f>IF(H92&lt;=0,"",IF(H92&lt;=2,"Muy Baja",IF(H92&lt;=15,"Baja",IF(H92&lt;=100,"Media",IF(H92&lt;=1000,"Alta","Muy Alta")))))</f>
        <v>Baja</v>
      </c>
      <c r="J92" s="231">
        <v>0.4</v>
      </c>
      <c r="K92" s="233" t="s">
        <v>155</v>
      </c>
      <c r="L92" s="231" t="str">
        <f>IF(NOT(ISERROR(MATCH(K92,'Tabla Impacto'!$B$221:$B$223,0))),'Tabla Impacto'!$F$223&amp;"Por favor no seleccionar los criterios de impacto(Afectación Económica o presupuestal y Pérdida Reputacional)",K92)</f>
        <v xml:space="preserve">     El riesgo afecta la imagen de de la entidad con efecto publicitario sostenido a nivel de sector administrativo, nivel departamental o municipal</v>
      </c>
      <c r="M92" s="229" t="str">
        <f>IF(OR(L92='Tabla Impacto'!$C$11,L92='Tabla Impacto'!$D$11),"Leve",IF(OR(L92='Tabla Impacto'!$C$12,L92='Tabla Impacto'!$D$12),"Menor",IF(OR(L92='Tabla Impacto'!$C$13,L92='Tabla Impacto'!$D$13),"Moderado",IF(OR(L92='Tabla Impacto'!$C$14,L92='Tabla Impacto'!$D$14),"Mayor",IF(OR(L92='Tabla Impacto'!$C$15,L92='Tabla Impacto'!$D$15),"Catastrófico","")))))</f>
        <v>Mayor</v>
      </c>
      <c r="N92" s="231">
        <f>IF(M92="","",IF(M92="Leve",0.2,IF(M92="Menor",0.4,IF(M92="Moderado",0.6,IF(M92="Mayor",0.8,IF(M92="Catastrófico",1,))))))</f>
        <v>0.8</v>
      </c>
      <c r="O92" s="214" t="str">
        <f>IF(OR(AND(I92="Muy Baja",M92="Leve"),AND(I92="Muy Baja",M92="Menor"),AND(I92="Baja",M92="Leve")),"Bajo",IF(OR(AND(I92="Muy baja",M92="Moderado"),AND(I92="Baja",M92="Menor"),AND(I92="Baja",M92="Moderado"),AND(I92="Media",M92="Leve"),AND(I92="Media",M92="Menor"),AND(I92="Media",M92="Moderado"),AND(I92="Alta",M92="Leve"),AND(I92="Alta",M92="Menor")),"Moderado",IF(OR(AND(I92="Muy Baja",M92="Mayor"),AND(I92="Baja",M92="Mayor"),AND(I92="Media",M92="Mayor"),AND(I92="Alta",M92="Moderado"),AND(I92="Alta",M92="Mayor"),AND(I92="Muy Alta",M92="Leve"),AND(I92="Muy Alta",M92="Menor"),AND(I92="Muy Alta",M92="Moderado"),AND(I92="Muy Alta",M92="Mayor")),"Alto",IF(OR(AND(I92="Muy Baja",M92="Catastrófico"),AND(I92="Baja",M92="Catastrófico"),AND(I92="Media",M92="Catastrófico"),AND(I92="Alta",M92="Catastrófico"),AND(I92="Muy Alta",M92="Catastrófico")),"Extremo",""))))</f>
        <v>Alto</v>
      </c>
      <c r="P92" s="122">
        <v>1</v>
      </c>
      <c r="Q92" s="123"/>
      <c r="R92" s="124" t="str">
        <f t="shared" si="25"/>
        <v/>
      </c>
      <c r="S92" s="125"/>
      <c r="T92" s="125"/>
      <c r="U92" s="126" t="str">
        <f t="shared" si="23"/>
        <v/>
      </c>
      <c r="V92" s="125"/>
      <c r="W92" s="125"/>
      <c r="X92" s="125"/>
      <c r="Y92" s="127" t="str">
        <f>IFERROR(IF(R92="Probabilidad",(J92-(+J92*U92)),IF(R92="Impacto",J92,"")),"")</f>
        <v/>
      </c>
      <c r="Z92" s="128" t="str">
        <f t="shared" si="26"/>
        <v/>
      </c>
      <c r="AA92" s="129" t="str">
        <f t="shared" si="27"/>
        <v/>
      </c>
      <c r="AB92" s="128" t="str">
        <f t="shared" si="28"/>
        <v/>
      </c>
      <c r="AC92" s="129" t="str">
        <f>IFERROR(IF(R92="Impacto",(N92-(+N92*U92)),IF(R92="Probabilidad",N92,"")),"")</f>
        <v/>
      </c>
      <c r="AD92" s="130" t="str">
        <f t="shared" si="24"/>
        <v/>
      </c>
      <c r="AE92" s="131"/>
      <c r="AF92" s="132"/>
      <c r="AG92" s="133"/>
      <c r="AH92" s="134"/>
      <c r="AI92" s="134"/>
      <c r="AJ92" s="132"/>
      <c r="AK92" s="133"/>
    </row>
    <row r="93" spans="1:37" x14ac:dyDescent="0.3">
      <c r="A93" s="236"/>
      <c r="B93" s="245"/>
      <c r="C93" s="226"/>
      <c r="D93" s="262"/>
      <c r="E93" s="263"/>
      <c r="F93" s="224"/>
      <c r="G93" s="226"/>
      <c r="H93" s="228"/>
      <c r="I93" s="230"/>
      <c r="J93" s="232"/>
      <c r="K93" s="234"/>
      <c r="L93" s="232">
        <f>IF(NOT(ISERROR(MATCH(K93,_xlfn.ANCHORARRAY(F198),0))),J200&amp;"Por favor no seleccionar los criterios de impacto",K93)</f>
        <v>0</v>
      </c>
      <c r="M93" s="230"/>
      <c r="N93" s="232"/>
      <c r="O93" s="215"/>
      <c r="P93" s="122">
        <v>2</v>
      </c>
      <c r="Q93" s="123"/>
      <c r="R93" s="124" t="str">
        <f t="shared" si="25"/>
        <v/>
      </c>
      <c r="S93" s="125"/>
      <c r="T93" s="125"/>
      <c r="U93" s="126" t="str">
        <f t="shared" si="23"/>
        <v/>
      </c>
      <c r="V93" s="125"/>
      <c r="W93" s="125"/>
      <c r="X93" s="125"/>
      <c r="Y93" s="136" t="str">
        <f>IFERROR(IF(AND(R92="Probabilidad",R93="Probabilidad"),(AA92-(+AA92*U93)),IF(R93="Probabilidad",(J92-(+J92*U93)),IF(R93="Impacto",AA92,""))),"")</f>
        <v/>
      </c>
      <c r="Z93" s="128" t="str">
        <f t="shared" si="26"/>
        <v/>
      </c>
      <c r="AA93" s="129" t="str">
        <f t="shared" si="27"/>
        <v/>
      </c>
      <c r="AB93" s="128" t="str">
        <f t="shared" si="28"/>
        <v/>
      </c>
      <c r="AC93" s="129" t="str">
        <f>IFERROR(IF(AND(R92="Impacto",R93="Impacto"),(AC92-(+AC92*U93)),IF(R93="Impacto",(N92-(+N92*U93)),IF(R93="Probabilidad",AC92,""))),"")</f>
        <v/>
      </c>
      <c r="AD93" s="130" t="str">
        <f t="shared" si="24"/>
        <v/>
      </c>
      <c r="AE93" s="131"/>
      <c r="AF93" s="132"/>
      <c r="AG93" s="133"/>
      <c r="AH93" s="134"/>
      <c r="AI93" s="134"/>
      <c r="AJ93" s="132"/>
      <c r="AK93" s="133"/>
    </row>
    <row r="94" spans="1:37" x14ac:dyDescent="0.3">
      <c r="A94" s="236"/>
      <c r="B94" s="245"/>
      <c r="C94" s="226"/>
      <c r="D94" s="262"/>
      <c r="E94" s="263"/>
      <c r="F94" s="224"/>
      <c r="G94" s="226"/>
      <c r="H94" s="228"/>
      <c r="I94" s="230"/>
      <c r="J94" s="232"/>
      <c r="K94" s="234"/>
      <c r="L94" s="232">
        <f>IF(NOT(ISERROR(MATCH(K94,_xlfn.ANCHORARRAY(F199),0))),J201&amp;"Por favor no seleccionar los criterios de impacto",K94)</f>
        <v>0</v>
      </c>
      <c r="M94" s="230"/>
      <c r="N94" s="232"/>
      <c r="O94" s="215"/>
      <c r="P94" s="122">
        <v>3</v>
      </c>
      <c r="Q94" s="135"/>
      <c r="R94" s="124" t="str">
        <f t="shared" si="25"/>
        <v/>
      </c>
      <c r="S94" s="125"/>
      <c r="T94" s="125"/>
      <c r="U94" s="126" t="str">
        <f t="shared" si="23"/>
        <v/>
      </c>
      <c r="V94" s="125"/>
      <c r="W94" s="125"/>
      <c r="X94" s="125"/>
      <c r="Y94" s="127" t="str">
        <f>IFERROR(IF(AND(R93="Probabilidad",R94="Probabilidad"),(AA93-(+AA93*U94)),IF(AND(R93="Impacto",R94="Probabilidad"),(AA92-(+AA92*U94)),IF(R94="Impacto",AA93,""))),"")</f>
        <v/>
      </c>
      <c r="Z94" s="128" t="str">
        <f t="shared" si="26"/>
        <v/>
      </c>
      <c r="AA94" s="129" t="str">
        <f t="shared" si="27"/>
        <v/>
      </c>
      <c r="AB94" s="128" t="str">
        <f t="shared" si="28"/>
        <v/>
      </c>
      <c r="AC94" s="129" t="str">
        <f>IFERROR(IF(AND(R93="Impacto",R94="Impacto"),(AC93-(+AC93*U94)),IF(AND(R93="Probabilidad",R94="Impacto"),(AC92-(+AC92*U94)),IF(R94="Probabilidad",AC93,""))),"")</f>
        <v/>
      </c>
      <c r="AD94" s="130" t="str">
        <f t="shared" si="24"/>
        <v/>
      </c>
      <c r="AE94" s="131"/>
      <c r="AF94" s="132"/>
      <c r="AG94" s="133"/>
      <c r="AH94" s="134"/>
      <c r="AI94" s="134"/>
      <c r="AJ94" s="132"/>
      <c r="AK94" s="133"/>
    </row>
    <row r="95" spans="1:37" x14ac:dyDescent="0.3">
      <c r="A95" s="236"/>
      <c r="B95" s="245"/>
      <c r="C95" s="226"/>
      <c r="D95" s="262"/>
      <c r="E95" s="263"/>
      <c r="F95" s="224"/>
      <c r="G95" s="226"/>
      <c r="H95" s="228"/>
      <c r="I95" s="230"/>
      <c r="J95" s="232"/>
      <c r="K95" s="234"/>
      <c r="L95" s="232">
        <f>IF(NOT(ISERROR(MATCH(K95,_xlfn.ANCHORARRAY(F200),0))),J202&amp;"Por favor no seleccionar los criterios de impacto",K95)</f>
        <v>0</v>
      </c>
      <c r="M95" s="230"/>
      <c r="N95" s="232"/>
      <c r="O95" s="215"/>
      <c r="P95" s="122">
        <v>4</v>
      </c>
      <c r="Q95" s="123"/>
      <c r="R95" s="124" t="str">
        <f t="shared" si="25"/>
        <v/>
      </c>
      <c r="S95" s="125"/>
      <c r="T95" s="125"/>
      <c r="U95" s="126" t="str">
        <f t="shared" si="23"/>
        <v/>
      </c>
      <c r="V95" s="125"/>
      <c r="W95" s="125"/>
      <c r="X95" s="125"/>
      <c r="Y95" s="127" t="str">
        <f>IFERROR(IF(AND(R94="Probabilidad",R95="Probabilidad"),(AA94-(+AA94*U95)),IF(AND(R94="Impacto",R95="Probabilidad"),(AA93-(+AA93*U95)),IF(R95="Impacto",AA94,""))),"")</f>
        <v/>
      </c>
      <c r="Z95" s="128" t="str">
        <f t="shared" si="26"/>
        <v/>
      </c>
      <c r="AA95" s="129" t="str">
        <f t="shared" si="27"/>
        <v/>
      </c>
      <c r="AB95" s="128" t="str">
        <f t="shared" si="28"/>
        <v/>
      </c>
      <c r="AC95" s="129" t="str">
        <f>IFERROR(IF(AND(R94="Impacto",R95="Impacto"),(AC94-(+AC94*U95)),IF(AND(R94="Probabilidad",R95="Impacto"),(AC93-(+AC93*U95)),IF(R95="Probabilidad",AC94,""))),"")</f>
        <v/>
      </c>
      <c r="AD95" s="130" t="str">
        <f t="shared" si="24"/>
        <v/>
      </c>
      <c r="AE95" s="131"/>
      <c r="AF95" s="132"/>
      <c r="AG95" s="133"/>
      <c r="AH95" s="134"/>
      <c r="AI95" s="134"/>
      <c r="AJ95" s="132"/>
      <c r="AK95" s="133"/>
    </row>
    <row r="96" spans="1:37" x14ac:dyDescent="0.3">
      <c r="A96" s="236"/>
      <c r="B96" s="245"/>
      <c r="C96" s="226"/>
      <c r="D96" s="262"/>
      <c r="E96" s="263"/>
      <c r="F96" s="224"/>
      <c r="G96" s="226"/>
      <c r="H96" s="228"/>
      <c r="I96" s="230"/>
      <c r="J96" s="232"/>
      <c r="K96" s="234"/>
      <c r="L96" s="232">
        <f>IF(NOT(ISERROR(MATCH(K96,_xlfn.ANCHORARRAY(F201),0))),J203&amp;"Por favor no seleccionar los criterios de impacto",K96)</f>
        <v>0</v>
      </c>
      <c r="M96" s="230"/>
      <c r="N96" s="232"/>
      <c r="O96" s="215"/>
      <c r="P96" s="122">
        <v>5</v>
      </c>
      <c r="Q96" s="123"/>
      <c r="R96" s="124" t="str">
        <f t="shared" si="25"/>
        <v/>
      </c>
      <c r="S96" s="125"/>
      <c r="T96" s="125"/>
      <c r="U96" s="126" t="str">
        <f t="shared" si="23"/>
        <v/>
      </c>
      <c r="V96" s="125"/>
      <c r="W96" s="125"/>
      <c r="X96" s="125"/>
      <c r="Y96" s="127" t="str">
        <f>IFERROR(IF(AND(R95="Probabilidad",R96="Probabilidad"),(AA95-(+AA95*U96)),IF(AND(R95="Impacto",R96="Probabilidad"),(AA94-(+AA94*U96)),IF(R96="Impacto",AA95,""))),"")</f>
        <v/>
      </c>
      <c r="Z96" s="128" t="str">
        <f t="shared" si="26"/>
        <v/>
      </c>
      <c r="AA96" s="129" t="str">
        <f t="shared" si="27"/>
        <v/>
      </c>
      <c r="AB96" s="128" t="str">
        <f t="shared" si="28"/>
        <v/>
      </c>
      <c r="AC96" s="129" t="str">
        <f>IFERROR(IF(AND(R95="Impacto",R96="Impacto"),(AC95-(+AC95*U96)),IF(AND(R95="Probabilidad",R96="Impacto"),(AC94-(+AC94*U96)),IF(R96="Probabilidad",AC95,""))),"")</f>
        <v/>
      </c>
      <c r="AD96" s="130" t="str">
        <f t="shared" si="24"/>
        <v/>
      </c>
      <c r="AE96" s="131"/>
      <c r="AF96" s="132"/>
      <c r="AG96" s="133"/>
      <c r="AH96" s="134"/>
      <c r="AI96" s="134"/>
      <c r="AJ96" s="132"/>
      <c r="AK96" s="133"/>
    </row>
    <row r="97" spans="1:37" x14ac:dyDescent="0.3">
      <c r="A97" s="237"/>
      <c r="B97" s="245"/>
      <c r="C97" s="252"/>
      <c r="D97" s="264"/>
      <c r="E97" s="265"/>
      <c r="F97" s="255"/>
      <c r="G97" s="252"/>
      <c r="H97" s="256"/>
      <c r="I97" s="257"/>
      <c r="J97" s="259"/>
      <c r="K97" s="258"/>
      <c r="L97" s="259">
        <f>IF(NOT(ISERROR(MATCH(K97,_xlfn.ANCHORARRAY(F202),0))),J204&amp;"Por favor no seleccionar los criterios de impacto",K97)</f>
        <v>0</v>
      </c>
      <c r="M97" s="257"/>
      <c r="N97" s="259"/>
      <c r="O97" s="266"/>
      <c r="P97" s="122">
        <v>6</v>
      </c>
      <c r="Q97" s="123"/>
      <c r="R97" s="124" t="str">
        <f t="shared" si="25"/>
        <v/>
      </c>
      <c r="S97" s="125"/>
      <c r="T97" s="125"/>
      <c r="U97" s="126" t="str">
        <f t="shared" si="23"/>
        <v/>
      </c>
      <c r="V97" s="125"/>
      <c r="W97" s="125"/>
      <c r="X97" s="125"/>
      <c r="Y97" s="127" t="str">
        <f>IFERROR(IF(AND(R96="Probabilidad",R97="Probabilidad"),(AA96-(+AA96*U97)),IF(AND(R96="Impacto",R97="Probabilidad"),(AA95-(+AA95*U97)),IF(R97="Impacto",AA96,""))),"")</f>
        <v/>
      </c>
      <c r="Z97" s="128" t="str">
        <f t="shared" si="26"/>
        <v/>
      </c>
      <c r="AA97" s="129" t="str">
        <f t="shared" si="27"/>
        <v/>
      </c>
      <c r="AB97" s="128" t="str">
        <f t="shared" si="28"/>
        <v/>
      </c>
      <c r="AC97" s="129" t="str">
        <f>IFERROR(IF(AND(R96="Impacto",R97="Impacto"),(AC96-(+AC96*U97)),IF(AND(R96="Probabilidad",R97="Impacto"),(AC95-(+AC95*U97)),IF(R97="Probabilidad",AC96,""))),"")</f>
        <v/>
      </c>
      <c r="AD97" s="130" t="str">
        <f t="shared" si="24"/>
        <v/>
      </c>
      <c r="AE97" s="131"/>
      <c r="AF97" s="132"/>
      <c r="AG97" s="133"/>
      <c r="AH97" s="134"/>
      <c r="AI97" s="134"/>
      <c r="AJ97" s="132"/>
      <c r="AK97" s="133"/>
    </row>
    <row r="98" spans="1:37" x14ac:dyDescent="0.3">
      <c r="A98" s="235">
        <v>27</v>
      </c>
      <c r="B98" s="245"/>
      <c r="C98" s="225" t="s">
        <v>132</v>
      </c>
      <c r="D98" s="238" t="s">
        <v>277</v>
      </c>
      <c r="E98" s="239"/>
      <c r="F98" s="223" t="s">
        <v>278</v>
      </c>
      <c r="G98" s="225" t="s">
        <v>123</v>
      </c>
      <c r="H98" s="227">
        <v>2</v>
      </c>
      <c r="I98" s="229" t="str">
        <f>IF(H98&lt;=0,"",IF(H98&lt;=2,"Muy Baja",IF(H98&lt;=15,"Baja",IF(H98&lt;=100,"Media",IF(H98&lt;=1000,"Alta","Muy Alta")))))</f>
        <v>Muy Baja</v>
      </c>
      <c r="J98" s="231">
        <v>0.2</v>
      </c>
      <c r="K98" s="233" t="s">
        <v>149</v>
      </c>
      <c r="L98" s="231" t="str">
        <f>IF(NOT(ISERROR(MATCH(K98,'Tabla Impacto'!$B$221:$B$223,0))),'Tabla Impacto'!$F$223&amp;"Por favor no seleccionar los criterios de impacto(Afectación Económica o presupuestal y Pérdida Reputacional)",K98)</f>
        <v xml:space="preserve">     Entre 10 y 50 SMLMV </v>
      </c>
      <c r="M98" s="229" t="str">
        <f>IF(OR(L98='Tabla Impacto'!$C$11,L98='Tabla Impacto'!$D$11),"Leve",IF(OR(L98='Tabla Impacto'!$C$12,L98='Tabla Impacto'!$D$12),"Menor",IF(OR(L98='Tabla Impacto'!$C$13,L98='Tabla Impacto'!$D$13),"Moderado",IF(OR(L98='Tabla Impacto'!$C$14,L98='Tabla Impacto'!$D$14),"Mayor",IF(OR(L98='Tabla Impacto'!$C$15,L98='Tabla Impacto'!$D$15),"Catastrófico","")))))</f>
        <v>Menor</v>
      </c>
      <c r="N98" s="231">
        <f>IF(M98="","",IF(M98="Leve",0.2,IF(M98="Menor",0.4,IF(M98="Moderado",0.6,IF(M98="Mayor",0.8,IF(M98="Catastrófico",1,))))))</f>
        <v>0.4</v>
      </c>
      <c r="O98" s="214" t="str">
        <f>IF(OR(AND(I98="Muy Baja",M98="Leve"),AND(I98="Muy Baja",M98="Menor"),AND(I98="Baja",M98="Leve")),"Bajo",IF(OR(AND(I98="Muy baja",M98="Moderado"),AND(I98="Baja",M98="Menor"),AND(I98="Baja",M98="Moderado"),AND(I98="Media",M98="Leve"),AND(I98="Media",M98="Menor"),AND(I98="Media",M98="Moderado"),AND(I98="Alta",M98="Leve"),AND(I98="Alta",M98="Menor")),"Moderado",IF(OR(AND(I98="Muy Baja",M98="Mayor"),AND(I98="Baja",M98="Mayor"),AND(I98="Media",M98="Mayor"),AND(I98="Alta",M98="Moderado"),AND(I98="Alta",M98="Mayor"),AND(I98="Muy Alta",M98="Leve"),AND(I98="Muy Alta",M98="Menor"),AND(I98="Muy Alta",M98="Moderado"),AND(I98="Muy Alta",M98="Mayor")),"Alto",IF(OR(AND(I98="Muy Baja",M98="Catastrófico"),AND(I98="Baja",M98="Catastrófico"),AND(I98="Media",M98="Catastrófico"),AND(I98="Alta",M98="Catastrófico"),AND(I98="Muy Alta",M98="Catastrófico")),"Extremo",""))))</f>
        <v>Bajo</v>
      </c>
      <c r="P98" s="122">
        <v>1</v>
      </c>
      <c r="Q98" s="123"/>
      <c r="R98" s="124" t="str">
        <f t="shared" si="25"/>
        <v/>
      </c>
      <c r="S98" s="125"/>
      <c r="T98" s="125"/>
      <c r="U98" s="126"/>
      <c r="V98" s="125"/>
      <c r="W98" s="125"/>
      <c r="X98" s="125"/>
      <c r="Y98" s="127"/>
      <c r="Z98" s="128"/>
      <c r="AA98" s="129"/>
      <c r="AB98" s="128"/>
      <c r="AC98" s="129"/>
      <c r="AD98" s="130"/>
      <c r="AE98" s="131"/>
      <c r="AF98" s="132"/>
      <c r="AG98" s="133"/>
      <c r="AH98" s="134"/>
      <c r="AI98" s="134"/>
      <c r="AJ98" s="132"/>
      <c r="AK98" s="133"/>
    </row>
    <row r="99" spans="1:37" x14ac:dyDescent="0.3">
      <c r="A99" s="236"/>
      <c r="B99" s="245"/>
      <c r="C99" s="226"/>
      <c r="D99" s="240"/>
      <c r="E99" s="241"/>
      <c r="F99" s="224"/>
      <c r="G99" s="226"/>
      <c r="H99" s="228"/>
      <c r="I99" s="230"/>
      <c r="J99" s="232"/>
      <c r="K99" s="234"/>
      <c r="L99" s="232">
        <f>IF(NOT(ISERROR(MATCH(K99,_xlfn.ANCHORARRAY(F204),0))),J206&amp;"Por favor no seleccionar los criterios de impacto",K99)</f>
        <v>0</v>
      </c>
      <c r="M99" s="230"/>
      <c r="N99" s="232"/>
      <c r="O99" s="215"/>
      <c r="P99" s="122">
        <v>2</v>
      </c>
      <c r="Q99" s="123"/>
      <c r="R99" s="124" t="str">
        <f t="shared" si="25"/>
        <v/>
      </c>
      <c r="S99" s="125"/>
      <c r="T99" s="125"/>
      <c r="U99" s="126"/>
      <c r="V99" s="125"/>
      <c r="W99" s="125"/>
      <c r="X99" s="125"/>
      <c r="Y99" s="127"/>
      <c r="Z99" s="128"/>
      <c r="AA99" s="129"/>
      <c r="AB99" s="128"/>
      <c r="AC99" s="129"/>
      <c r="AD99" s="130"/>
      <c r="AE99" s="131"/>
      <c r="AF99" s="132"/>
      <c r="AG99" s="133"/>
      <c r="AH99" s="134"/>
      <c r="AI99" s="134"/>
      <c r="AJ99" s="132"/>
      <c r="AK99" s="133"/>
    </row>
    <row r="100" spans="1:37" x14ac:dyDescent="0.3">
      <c r="A100" s="236"/>
      <c r="B100" s="245"/>
      <c r="C100" s="226"/>
      <c r="D100" s="240"/>
      <c r="E100" s="241"/>
      <c r="F100" s="224"/>
      <c r="G100" s="226"/>
      <c r="H100" s="228"/>
      <c r="I100" s="230"/>
      <c r="J100" s="232"/>
      <c r="K100" s="234"/>
      <c r="L100" s="232">
        <f>IF(NOT(ISERROR(MATCH(K100,_xlfn.ANCHORARRAY(F205),0))),J207&amp;"Por favor no seleccionar los criterios de impacto",K100)</f>
        <v>0</v>
      </c>
      <c r="M100" s="230"/>
      <c r="N100" s="232"/>
      <c r="O100" s="215"/>
      <c r="P100" s="122">
        <v>3</v>
      </c>
      <c r="Q100" s="123"/>
      <c r="R100" s="124" t="str">
        <f t="shared" si="25"/>
        <v/>
      </c>
      <c r="S100" s="125"/>
      <c r="T100" s="125"/>
      <c r="U100" s="126"/>
      <c r="V100" s="125"/>
      <c r="W100" s="125"/>
      <c r="X100" s="125"/>
      <c r="Y100" s="127"/>
      <c r="Z100" s="128"/>
      <c r="AA100" s="129"/>
      <c r="AB100" s="128"/>
      <c r="AC100" s="129"/>
      <c r="AD100" s="130"/>
      <c r="AE100" s="131"/>
      <c r="AF100" s="132"/>
      <c r="AG100" s="133"/>
      <c r="AH100" s="134"/>
      <c r="AI100" s="134"/>
      <c r="AJ100" s="132"/>
      <c r="AK100" s="133"/>
    </row>
    <row r="101" spans="1:37" x14ac:dyDescent="0.3">
      <c r="A101" s="236"/>
      <c r="B101" s="245"/>
      <c r="C101" s="226"/>
      <c r="D101" s="240"/>
      <c r="E101" s="241"/>
      <c r="F101" s="224"/>
      <c r="G101" s="226"/>
      <c r="H101" s="228"/>
      <c r="I101" s="230"/>
      <c r="J101" s="232"/>
      <c r="K101" s="234"/>
      <c r="L101" s="232">
        <f>IF(NOT(ISERROR(MATCH(K101,_xlfn.ANCHORARRAY(F206),0))),J208&amp;"Por favor no seleccionar los criterios de impacto",K101)</f>
        <v>0</v>
      </c>
      <c r="M101" s="230"/>
      <c r="N101" s="232"/>
      <c r="O101" s="215"/>
      <c r="P101" s="122">
        <v>4</v>
      </c>
      <c r="Q101" s="123"/>
      <c r="R101" s="124" t="str">
        <f t="shared" si="25"/>
        <v/>
      </c>
      <c r="S101" s="125"/>
      <c r="T101" s="125"/>
      <c r="U101" s="126"/>
      <c r="V101" s="125"/>
      <c r="W101" s="125"/>
      <c r="X101" s="125"/>
      <c r="Y101" s="127"/>
      <c r="Z101" s="128"/>
      <c r="AA101" s="129"/>
      <c r="AB101" s="128"/>
      <c r="AC101" s="129"/>
      <c r="AD101" s="130"/>
      <c r="AE101" s="131"/>
      <c r="AF101" s="132"/>
      <c r="AG101" s="133"/>
      <c r="AH101" s="134"/>
      <c r="AI101" s="134"/>
      <c r="AJ101" s="132"/>
      <c r="AK101" s="133"/>
    </row>
    <row r="102" spans="1:37" x14ac:dyDescent="0.3">
      <c r="A102" s="236"/>
      <c r="B102" s="245"/>
      <c r="C102" s="226"/>
      <c r="D102" s="240"/>
      <c r="E102" s="241"/>
      <c r="F102" s="224"/>
      <c r="G102" s="226"/>
      <c r="H102" s="228"/>
      <c r="I102" s="230"/>
      <c r="J102" s="232"/>
      <c r="K102" s="234"/>
      <c r="L102" s="232">
        <f>IF(NOT(ISERROR(MATCH(K102,_xlfn.ANCHORARRAY(F207),0))),J209&amp;"Por favor no seleccionar los criterios de impacto",K102)</f>
        <v>0</v>
      </c>
      <c r="M102" s="230"/>
      <c r="N102" s="232"/>
      <c r="O102" s="215"/>
      <c r="P102" s="122">
        <v>5</v>
      </c>
      <c r="Q102" s="123"/>
      <c r="R102" s="124" t="str">
        <f t="shared" si="25"/>
        <v/>
      </c>
      <c r="S102" s="125"/>
      <c r="T102" s="125"/>
      <c r="U102" s="126"/>
      <c r="V102" s="125"/>
      <c r="W102" s="125"/>
      <c r="X102" s="125"/>
      <c r="Y102" s="127"/>
      <c r="Z102" s="128"/>
      <c r="AA102" s="129"/>
      <c r="AB102" s="128"/>
      <c r="AC102" s="129"/>
      <c r="AD102" s="130"/>
      <c r="AE102" s="131"/>
      <c r="AF102" s="132"/>
      <c r="AG102" s="133"/>
      <c r="AH102" s="134"/>
      <c r="AI102" s="134"/>
      <c r="AJ102" s="132"/>
      <c r="AK102" s="133"/>
    </row>
    <row r="103" spans="1:37" x14ac:dyDescent="0.3">
      <c r="A103" s="237"/>
      <c r="B103" s="246"/>
      <c r="C103" s="252"/>
      <c r="D103" s="242"/>
      <c r="E103" s="243"/>
      <c r="F103" s="255"/>
      <c r="G103" s="252"/>
      <c r="H103" s="256"/>
      <c r="I103" s="257"/>
      <c r="J103" s="259"/>
      <c r="K103" s="258"/>
      <c r="L103" s="259">
        <f>IF(NOT(ISERROR(MATCH(K103,_xlfn.ANCHORARRAY(F208),0))),J210&amp;"Por favor no seleccionar los criterios de impacto",K103)</f>
        <v>0</v>
      </c>
      <c r="M103" s="257"/>
      <c r="N103" s="259"/>
      <c r="O103" s="266"/>
      <c r="P103" s="122">
        <v>6</v>
      </c>
      <c r="Q103" s="123"/>
      <c r="R103" s="124" t="str">
        <f t="shared" si="25"/>
        <v/>
      </c>
      <c r="S103" s="125"/>
      <c r="T103" s="125"/>
      <c r="U103" s="126"/>
      <c r="V103" s="125"/>
      <c r="W103" s="125"/>
      <c r="X103" s="125"/>
      <c r="Y103" s="127"/>
      <c r="Z103" s="128"/>
      <c r="AA103" s="129"/>
      <c r="AB103" s="128"/>
      <c r="AC103" s="129"/>
      <c r="AD103" s="130"/>
      <c r="AE103" s="131"/>
      <c r="AF103" s="132"/>
      <c r="AG103" s="133"/>
      <c r="AH103" s="134"/>
      <c r="AI103" s="134"/>
      <c r="AJ103" s="132"/>
      <c r="AK103" s="133"/>
    </row>
    <row r="104" spans="1:37" ht="16.5" customHeight="1" x14ac:dyDescent="0.3">
      <c r="A104" s="235">
        <v>28</v>
      </c>
      <c r="B104" s="253" t="s">
        <v>513</v>
      </c>
      <c r="C104" s="225" t="s">
        <v>131</v>
      </c>
      <c r="D104" s="238" t="s">
        <v>279</v>
      </c>
      <c r="E104" s="239"/>
      <c r="F104" s="223" t="s">
        <v>280</v>
      </c>
      <c r="G104" s="225" t="s">
        <v>125</v>
      </c>
      <c r="H104" s="227">
        <v>2</v>
      </c>
      <c r="I104" s="229" t="str">
        <f>IF(H104&lt;=0,"",IF(H104&lt;=2,"Muy Baja",IF(H104&lt;=15,"Baja",IF(H104&lt;=100,"Media",IF(H104&lt;=1000,"Alta","Muy Alta")))))</f>
        <v>Muy Baja</v>
      </c>
      <c r="J104" s="231">
        <v>0.2</v>
      </c>
      <c r="K104" s="233" t="s">
        <v>154</v>
      </c>
      <c r="L104" s="231" t="str">
        <f>IF(NOT(ISERROR(MATCH(K104,'Tabla Impacto'!$B$221:$B$223,0))),'Tabla Impacto'!$F$223&amp;"Por favor no seleccionar los criterios de impacto(Afectación Económica o presupuestal y Pérdida Reputacional)",K104)</f>
        <v xml:space="preserve">     El riesgo afecta la imagen de la entidad con algunos usuarios de relevancia frente al logro de los objetivos</v>
      </c>
      <c r="M104" s="229" t="str">
        <f>IF(OR(L104='Tabla Impacto'!$C$11,L104='Tabla Impacto'!$D$11),"Leve",IF(OR(L104='Tabla Impacto'!$C$12,L104='Tabla Impacto'!$D$12),"Menor",IF(OR(L104='Tabla Impacto'!$C$13,L104='Tabla Impacto'!$D$13),"Moderado",IF(OR(L104='Tabla Impacto'!$C$14,L104='Tabla Impacto'!$D$14),"Mayor",IF(OR(L104='Tabla Impacto'!$C$15,L104='Tabla Impacto'!$D$15),"Catastrófico","")))))</f>
        <v>Moderado</v>
      </c>
      <c r="N104" s="231">
        <f>IF(M104="","",IF(M104="Leve",0.2,IF(M104="Menor",0.4,IF(M104="Moderado",0.6,IF(M104="Mayor",0.8,IF(M104="Catastrófico",1,))))))</f>
        <v>0.6</v>
      </c>
      <c r="O104" s="214" t="str">
        <f>IF(OR(AND(I104="Muy Baja",M104="Leve"),AND(I104="Muy Baja",M104="Menor"),AND(I104="Baja",M104="Leve")),"Bajo",IF(OR(AND(I104="Muy baja",M104="Moderado"),AND(I104="Baja",M104="Menor"),AND(I104="Baja",M104="Moderado"),AND(I104="Media",M104="Leve"),AND(I104="Media",M104="Menor"),AND(I104="Media",M104="Moderado"),AND(I104="Alta",M104="Leve"),AND(I104="Alta",M104="Menor")),"Moderado",IF(OR(AND(I104="Muy Baja",M104="Mayor"),AND(I104="Baja",M104="Mayor"),AND(I104="Media",M104="Mayor"),AND(I104="Alta",M104="Moderado"),AND(I104="Alta",M104="Mayor"),AND(I104="Muy Alta",M104="Leve"),AND(I104="Muy Alta",M104="Menor"),AND(I104="Muy Alta",M104="Moderado"),AND(I104="Muy Alta",M104="Mayor")),"Alto",IF(OR(AND(I104="Muy Baja",M104="Catastrófico"),AND(I104="Baja",M104="Catastrófico"),AND(I104="Media",M104="Catastrófico"),AND(I104="Alta",M104="Catastrófico"),AND(I104="Muy Alta",M104="Catastrófico")),"Extremo",""))))</f>
        <v>Moderado</v>
      </c>
      <c r="P104" s="122">
        <v>1</v>
      </c>
      <c r="Q104" s="123"/>
      <c r="R104" s="124" t="str">
        <f t="shared" si="25"/>
        <v/>
      </c>
      <c r="S104" s="125"/>
      <c r="T104" s="125"/>
      <c r="U104" s="126"/>
      <c r="V104" s="125"/>
      <c r="W104" s="125"/>
      <c r="X104" s="125"/>
      <c r="Y104" s="127"/>
      <c r="Z104" s="128"/>
      <c r="AA104" s="129"/>
      <c r="AB104" s="128"/>
      <c r="AC104" s="129"/>
      <c r="AD104" s="130"/>
      <c r="AE104" s="131"/>
      <c r="AF104" s="132"/>
      <c r="AG104" s="133"/>
      <c r="AH104" s="134"/>
      <c r="AI104" s="134"/>
      <c r="AJ104" s="132"/>
      <c r="AK104" s="133"/>
    </row>
    <row r="105" spans="1:37" x14ac:dyDescent="0.3">
      <c r="A105" s="236"/>
      <c r="B105" s="254"/>
      <c r="C105" s="226"/>
      <c r="D105" s="240"/>
      <c r="E105" s="241"/>
      <c r="F105" s="224"/>
      <c r="G105" s="226"/>
      <c r="H105" s="228"/>
      <c r="I105" s="230"/>
      <c r="J105" s="232"/>
      <c r="K105" s="234"/>
      <c r="L105" s="232">
        <f>IF(NOT(ISERROR(MATCH(K105,_xlfn.ANCHORARRAY(F204),0))),J206&amp;"Por favor no seleccionar los criterios de impacto",K105)</f>
        <v>0</v>
      </c>
      <c r="M105" s="230"/>
      <c r="N105" s="232"/>
      <c r="O105" s="215"/>
      <c r="P105" s="122">
        <v>2</v>
      </c>
      <c r="Q105" s="123"/>
      <c r="R105" s="124" t="str">
        <f t="shared" si="25"/>
        <v/>
      </c>
      <c r="S105" s="125"/>
      <c r="T105" s="125"/>
      <c r="U105" s="126"/>
      <c r="V105" s="125"/>
      <c r="W105" s="125"/>
      <c r="X105" s="125"/>
      <c r="Y105" s="127"/>
      <c r="Z105" s="128"/>
      <c r="AA105" s="129"/>
      <c r="AB105" s="128"/>
      <c r="AC105" s="129"/>
      <c r="AD105" s="130"/>
      <c r="AE105" s="131"/>
      <c r="AF105" s="132"/>
      <c r="AG105" s="133"/>
      <c r="AH105" s="134"/>
      <c r="AI105" s="134"/>
      <c r="AJ105" s="132"/>
      <c r="AK105" s="133"/>
    </row>
    <row r="106" spans="1:37" x14ac:dyDescent="0.3">
      <c r="A106" s="236"/>
      <c r="B106" s="254"/>
      <c r="C106" s="226"/>
      <c r="D106" s="240"/>
      <c r="E106" s="241"/>
      <c r="F106" s="224"/>
      <c r="G106" s="226"/>
      <c r="H106" s="228"/>
      <c r="I106" s="230"/>
      <c r="J106" s="232"/>
      <c r="K106" s="234"/>
      <c r="L106" s="232">
        <f>IF(NOT(ISERROR(MATCH(K106,_xlfn.ANCHORARRAY(F205),0))),J207&amp;"Por favor no seleccionar los criterios de impacto",K106)</f>
        <v>0</v>
      </c>
      <c r="M106" s="230"/>
      <c r="N106" s="232"/>
      <c r="O106" s="215"/>
      <c r="P106" s="122">
        <v>3</v>
      </c>
      <c r="Q106" s="123"/>
      <c r="R106" s="124" t="str">
        <f t="shared" si="25"/>
        <v/>
      </c>
      <c r="S106" s="125"/>
      <c r="T106" s="125"/>
      <c r="U106" s="126"/>
      <c r="V106" s="125"/>
      <c r="W106" s="125"/>
      <c r="X106" s="125"/>
      <c r="Y106" s="127"/>
      <c r="Z106" s="128"/>
      <c r="AA106" s="129"/>
      <c r="AB106" s="128"/>
      <c r="AC106" s="129"/>
      <c r="AD106" s="130"/>
      <c r="AE106" s="131"/>
      <c r="AF106" s="132"/>
      <c r="AG106" s="133"/>
      <c r="AH106" s="134"/>
      <c r="AI106" s="134"/>
      <c r="AJ106" s="132"/>
      <c r="AK106" s="133"/>
    </row>
    <row r="107" spans="1:37" x14ac:dyDescent="0.3">
      <c r="A107" s="236"/>
      <c r="B107" s="254"/>
      <c r="C107" s="226"/>
      <c r="D107" s="240"/>
      <c r="E107" s="241"/>
      <c r="F107" s="224"/>
      <c r="G107" s="226"/>
      <c r="H107" s="228"/>
      <c r="I107" s="230"/>
      <c r="J107" s="232"/>
      <c r="K107" s="234"/>
      <c r="L107" s="232">
        <f>IF(NOT(ISERROR(MATCH(K107,_xlfn.ANCHORARRAY(F206),0))),J208&amp;"Por favor no seleccionar los criterios de impacto",K107)</f>
        <v>0</v>
      </c>
      <c r="M107" s="230"/>
      <c r="N107" s="232"/>
      <c r="O107" s="215"/>
      <c r="P107" s="122">
        <v>4</v>
      </c>
      <c r="Q107" s="123"/>
      <c r="R107" s="124" t="str">
        <f t="shared" si="25"/>
        <v/>
      </c>
      <c r="S107" s="125"/>
      <c r="T107" s="125"/>
      <c r="U107" s="126"/>
      <c r="V107" s="125"/>
      <c r="W107" s="125"/>
      <c r="X107" s="125"/>
      <c r="Y107" s="127"/>
      <c r="Z107" s="128"/>
      <c r="AA107" s="129"/>
      <c r="AB107" s="128"/>
      <c r="AC107" s="129"/>
      <c r="AD107" s="130"/>
      <c r="AE107" s="131"/>
      <c r="AF107" s="132"/>
      <c r="AG107" s="133"/>
      <c r="AH107" s="134"/>
      <c r="AI107" s="134"/>
      <c r="AJ107" s="132"/>
      <c r="AK107" s="133"/>
    </row>
    <row r="108" spans="1:37" x14ac:dyDescent="0.3">
      <c r="A108" s="236"/>
      <c r="B108" s="254"/>
      <c r="C108" s="226"/>
      <c r="D108" s="240"/>
      <c r="E108" s="241"/>
      <c r="F108" s="224"/>
      <c r="G108" s="226"/>
      <c r="H108" s="228"/>
      <c r="I108" s="230"/>
      <c r="J108" s="232"/>
      <c r="K108" s="234"/>
      <c r="L108" s="232">
        <f>IF(NOT(ISERROR(MATCH(K108,_xlfn.ANCHORARRAY(F207),0))),J209&amp;"Por favor no seleccionar los criterios de impacto",K108)</f>
        <v>0</v>
      </c>
      <c r="M108" s="230"/>
      <c r="N108" s="232"/>
      <c r="O108" s="215"/>
      <c r="P108" s="122">
        <v>5</v>
      </c>
      <c r="Q108" s="123"/>
      <c r="R108" s="124" t="str">
        <f t="shared" si="25"/>
        <v/>
      </c>
      <c r="S108" s="125"/>
      <c r="T108" s="125"/>
      <c r="U108" s="126"/>
      <c r="V108" s="125"/>
      <c r="W108" s="125"/>
      <c r="X108" s="125"/>
      <c r="Y108" s="127"/>
      <c r="Z108" s="128"/>
      <c r="AA108" s="129"/>
      <c r="AB108" s="128"/>
      <c r="AC108" s="129"/>
      <c r="AD108" s="130"/>
      <c r="AE108" s="131"/>
      <c r="AF108" s="132"/>
      <c r="AG108" s="133"/>
      <c r="AH108" s="134"/>
      <c r="AI108" s="134"/>
      <c r="AJ108" s="132"/>
      <c r="AK108" s="133"/>
    </row>
    <row r="109" spans="1:37" x14ac:dyDescent="0.3">
      <c r="A109" s="237"/>
      <c r="B109" s="254"/>
      <c r="C109" s="252"/>
      <c r="D109" s="242"/>
      <c r="E109" s="243"/>
      <c r="F109" s="255"/>
      <c r="G109" s="252"/>
      <c r="H109" s="256"/>
      <c r="I109" s="257"/>
      <c r="J109" s="259"/>
      <c r="K109" s="258"/>
      <c r="L109" s="259">
        <f>IF(NOT(ISERROR(MATCH(K109,_xlfn.ANCHORARRAY(F208),0))),J210&amp;"Por favor no seleccionar los criterios de impacto",K109)</f>
        <v>0</v>
      </c>
      <c r="M109" s="257"/>
      <c r="N109" s="259"/>
      <c r="O109" s="266"/>
      <c r="P109" s="122">
        <v>6</v>
      </c>
      <c r="Q109" s="123"/>
      <c r="R109" s="124" t="str">
        <f t="shared" si="25"/>
        <v/>
      </c>
      <c r="S109" s="125"/>
      <c r="T109" s="125"/>
      <c r="U109" s="126"/>
      <c r="V109" s="125"/>
      <c r="W109" s="125"/>
      <c r="X109" s="125"/>
      <c r="Y109" s="127"/>
      <c r="Z109" s="128"/>
      <c r="AA109" s="129"/>
      <c r="AB109" s="128"/>
      <c r="AC109" s="129"/>
      <c r="AD109" s="130"/>
      <c r="AE109" s="131"/>
      <c r="AF109" s="132"/>
      <c r="AG109" s="133"/>
      <c r="AH109" s="134"/>
      <c r="AI109" s="134"/>
      <c r="AJ109" s="132"/>
      <c r="AK109" s="133"/>
    </row>
    <row r="110" spans="1:37" ht="76.5" x14ac:dyDescent="0.3">
      <c r="A110" s="235">
        <v>29</v>
      </c>
      <c r="B110" s="254"/>
      <c r="C110" s="225" t="s">
        <v>131</v>
      </c>
      <c r="D110" s="238" t="s">
        <v>281</v>
      </c>
      <c r="E110" s="239"/>
      <c r="F110" s="223" t="s">
        <v>282</v>
      </c>
      <c r="G110" s="225" t="s">
        <v>122</v>
      </c>
      <c r="H110" s="227">
        <v>2</v>
      </c>
      <c r="I110" s="229" t="str">
        <f>IF(H110&lt;=0,"",IF(H110&lt;=2,"Muy Baja",IF(H110&lt;=15,"Baja",IF(H110&lt;=100,"Media",IF(H110&lt;=1000,"Alta","Muy Alta")))))</f>
        <v>Muy Baja</v>
      </c>
      <c r="J110" s="231">
        <v>0.2</v>
      </c>
      <c r="K110" s="233" t="s">
        <v>152</v>
      </c>
      <c r="L110" s="231" t="str">
        <f>IF(NOT(ISERROR(MATCH(K110,'Tabla Impacto'!$B$221:$B$223,0))),'Tabla Impacto'!$F$223&amp;"Por favor no seleccionar los criterios de impacto(Afectación Económica o presupuestal y Pérdida Reputacional)",K110)</f>
        <v xml:space="preserve">     El riesgo afecta la imagen de alguna área de la organización</v>
      </c>
      <c r="M110" s="229" t="str">
        <f>IF(OR(L110='Tabla Impacto'!$C$11,L110='Tabla Impacto'!$D$11),"Leve",IF(OR(L110='Tabla Impacto'!$C$12,L110='Tabla Impacto'!$D$12),"Menor",IF(OR(L110='Tabla Impacto'!$C$13,L110='Tabla Impacto'!$D$13),"Moderado",IF(OR(L110='Tabla Impacto'!$C$14,L110='Tabla Impacto'!$D$14),"Mayor",IF(OR(L110='Tabla Impacto'!$C$15,L110='Tabla Impacto'!$D$15),"Catastrófico","")))))</f>
        <v>Leve</v>
      </c>
      <c r="N110" s="231">
        <f>IF(M110="","",IF(M110="Leve",0.2,IF(M110="Menor",0.4,IF(M110="Moderado",0.6,IF(M110="Mayor",0.8,IF(M110="Catastrófico",1,))))))</f>
        <v>0.2</v>
      </c>
      <c r="O110" s="214" t="str">
        <f>IF(OR(AND(I110="Muy Baja",M110="Leve"),AND(I110="Muy Baja",M110="Menor"),AND(I110="Baja",M110="Leve")),"Bajo",IF(OR(AND(I110="Muy baja",M110="Moderado"),AND(I110="Baja",M110="Menor"),AND(I110="Baja",M110="Moderado"),AND(I110="Media",M110="Leve"),AND(I110="Media",M110="Menor"),AND(I110="Media",M110="Moderado"),AND(I110="Alta",M110="Leve"),AND(I110="Alta",M110="Menor")),"Moderado",IF(OR(AND(I110="Muy Baja",M110="Mayor"),AND(I110="Baja",M110="Mayor"),AND(I110="Media",M110="Mayor"),AND(I110="Alta",M110="Moderado"),AND(I110="Alta",M110="Mayor"),AND(I110="Muy Alta",M110="Leve"),AND(I110="Muy Alta",M110="Menor"),AND(I110="Muy Alta",M110="Moderado"),AND(I110="Muy Alta",M110="Mayor")),"Alto",IF(OR(AND(I110="Muy Baja",M110="Catastrófico"),AND(I110="Baja",M110="Catastrófico"),AND(I110="Media",M110="Catastrófico"),AND(I110="Alta",M110="Catastrófico"),AND(I110="Muy Alta",M110="Catastrófico")),"Extremo",""))))</f>
        <v>Bajo</v>
      </c>
      <c r="P110" s="122">
        <v>1</v>
      </c>
      <c r="Q110" s="123" t="s">
        <v>402</v>
      </c>
      <c r="R110" s="124" t="str">
        <f t="shared" si="25"/>
        <v>Impacto</v>
      </c>
      <c r="S110" s="125" t="s">
        <v>16</v>
      </c>
      <c r="T110" s="125" t="s">
        <v>9</v>
      </c>
      <c r="U110" s="126">
        <v>0.1</v>
      </c>
      <c r="V110" s="125" t="s">
        <v>19</v>
      </c>
      <c r="W110" s="125" t="s">
        <v>22</v>
      </c>
      <c r="X110" s="125" t="s">
        <v>118</v>
      </c>
      <c r="Y110" s="127"/>
      <c r="Z110" s="128" t="s">
        <v>403</v>
      </c>
      <c r="AA110" s="129">
        <v>0.2</v>
      </c>
      <c r="AB110" s="128" t="s">
        <v>404</v>
      </c>
      <c r="AC110" s="129">
        <v>0.2</v>
      </c>
      <c r="AD110" s="130" t="s">
        <v>403</v>
      </c>
      <c r="AE110" s="131" t="s">
        <v>135</v>
      </c>
      <c r="AF110" s="132" t="s">
        <v>405</v>
      </c>
      <c r="AG110" s="133" t="s">
        <v>406</v>
      </c>
      <c r="AH110" s="134" t="s">
        <v>356</v>
      </c>
      <c r="AI110" s="134" t="s">
        <v>407</v>
      </c>
      <c r="AJ110" s="132" t="s">
        <v>346</v>
      </c>
      <c r="AK110" s="133" t="s">
        <v>364</v>
      </c>
    </row>
    <row r="111" spans="1:37" ht="76.5" x14ac:dyDescent="0.3">
      <c r="A111" s="236"/>
      <c r="B111" s="254"/>
      <c r="C111" s="226"/>
      <c r="D111" s="240"/>
      <c r="E111" s="241"/>
      <c r="F111" s="224"/>
      <c r="G111" s="226"/>
      <c r="H111" s="228"/>
      <c r="I111" s="230"/>
      <c r="J111" s="232"/>
      <c r="K111" s="234"/>
      <c r="L111" s="232">
        <f>IF(NOT(ISERROR(MATCH(K111,_xlfn.ANCHORARRAY(F210),0))),J212&amp;"Por favor no seleccionar los criterios de impacto",K111)</f>
        <v>0</v>
      </c>
      <c r="M111" s="230"/>
      <c r="N111" s="232"/>
      <c r="O111" s="215"/>
      <c r="P111" s="122">
        <v>2</v>
      </c>
      <c r="Q111" s="123" t="s">
        <v>411</v>
      </c>
      <c r="R111" s="124" t="str">
        <f t="shared" si="25"/>
        <v>Impacto</v>
      </c>
      <c r="S111" s="125" t="s">
        <v>16</v>
      </c>
      <c r="T111" s="125" t="s">
        <v>9</v>
      </c>
      <c r="U111" s="126">
        <v>0.1</v>
      </c>
      <c r="V111" s="125" t="s">
        <v>19</v>
      </c>
      <c r="W111" s="125" t="s">
        <v>23</v>
      </c>
      <c r="X111" s="125" t="s">
        <v>119</v>
      </c>
      <c r="Y111" s="127"/>
      <c r="Z111" s="128" t="s">
        <v>403</v>
      </c>
      <c r="AA111" s="129">
        <v>0.2</v>
      </c>
      <c r="AB111" s="128" t="s">
        <v>404</v>
      </c>
      <c r="AC111" s="129">
        <v>0.2</v>
      </c>
      <c r="AD111" s="130" t="s">
        <v>403</v>
      </c>
      <c r="AE111" s="131" t="s">
        <v>135</v>
      </c>
      <c r="AF111" s="132" t="s">
        <v>408</v>
      </c>
      <c r="AG111" s="133" t="s">
        <v>406</v>
      </c>
      <c r="AH111" s="134" t="s">
        <v>409</v>
      </c>
      <c r="AI111" s="134" t="s">
        <v>410</v>
      </c>
      <c r="AJ111" s="132" t="s">
        <v>357</v>
      </c>
      <c r="AK111" s="133" t="s">
        <v>364</v>
      </c>
    </row>
    <row r="112" spans="1:37" ht="36.75" customHeight="1" x14ac:dyDescent="0.3">
      <c r="A112" s="235">
        <v>30</v>
      </c>
      <c r="B112" s="254"/>
      <c r="C112" s="225" t="s">
        <v>133</v>
      </c>
      <c r="D112" s="238" t="s">
        <v>279</v>
      </c>
      <c r="E112" s="239"/>
      <c r="F112" s="223" t="s">
        <v>283</v>
      </c>
      <c r="G112" s="225" t="s">
        <v>122</v>
      </c>
      <c r="H112" s="227">
        <v>2</v>
      </c>
      <c r="I112" s="229" t="str">
        <f>IF(H112&lt;=0,"",IF(H112&lt;=2,"Muy Baja",IF(H112&lt;=15,"Baja",IF(H112&lt;=100,"Media",IF(H112&lt;=1000,"Alta","Muy Alta")))))</f>
        <v>Muy Baja</v>
      </c>
      <c r="J112" s="231">
        <v>0.2</v>
      </c>
      <c r="K112" s="233" t="s">
        <v>152</v>
      </c>
      <c r="L112" s="231" t="str">
        <f>IF(NOT(ISERROR(MATCH(K112,'Tabla Impacto'!$B$221:$B$223,0))),'Tabla Impacto'!$F$223&amp;"Por favor no seleccionar los criterios de impacto(Afectación Económica o presupuestal y Pérdida Reputacional)",K112)</f>
        <v xml:space="preserve">     El riesgo afecta la imagen de alguna área de la organización</v>
      </c>
      <c r="M112" s="229" t="str">
        <f>IF(OR(L112='Tabla Impacto'!$C$11,L112='Tabla Impacto'!$D$11),"Leve",IF(OR(L112='Tabla Impacto'!$C$12,L112='Tabla Impacto'!$D$12),"Menor",IF(OR(L112='Tabla Impacto'!$C$13,L112='Tabla Impacto'!$D$13),"Moderado",IF(OR(L112='Tabla Impacto'!$C$14,L112='Tabla Impacto'!$D$14),"Mayor",IF(OR(L112='Tabla Impacto'!$C$15,L112='Tabla Impacto'!$D$15),"Catastrófico","")))))</f>
        <v>Leve</v>
      </c>
      <c r="N112" s="231">
        <f>IF(M112="","",IF(M112="Leve",0.2,IF(M112="Menor",0.4,IF(M112="Moderado",0.6,IF(M112="Mayor",0.8,IF(M112="Catastrófico",1,))))))</f>
        <v>0.2</v>
      </c>
      <c r="O112" s="214" t="str">
        <f>IF(OR(AND(I112="Muy Baja",M112="Leve"),AND(I112="Muy Baja",M112="Menor"),AND(I112="Baja",M112="Leve")),"Bajo",IF(OR(AND(I112="Muy baja",M112="Moderado"),AND(I112="Baja",M112="Menor"),AND(I112="Baja",M112="Moderado"),AND(I112="Media",M112="Leve"),AND(I112="Media",M112="Menor"),AND(I112="Media",M112="Moderado"),AND(I112="Alta",M112="Leve"),AND(I112="Alta",M112="Menor")),"Moderado",IF(OR(AND(I112="Muy Baja",M112="Mayor"),AND(I112="Baja",M112="Mayor"),AND(I112="Media",M112="Mayor"),AND(I112="Alta",M112="Moderado"),AND(I112="Alta",M112="Mayor"),AND(I112="Muy Alta",M112="Leve"),AND(I112="Muy Alta",M112="Menor"),AND(I112="Muy Alta",M112="Moderado"),AND(I112="Muy Alta",M112="Mayor")),"Alto",IF(OR(AND(I112="Muy Baja",M112="Catastrófico"),AND(I112="Baja",M112="Catastrófico"),AND(I112="Media",M112="Catastrófico"),AND(I112="Alta",M112="Catastrófico"),AND(I112="Muy Alta",M112="Catastrófico")),"Extremo",""))))</f>
        <v>Bajo</v>
      </c>
      <c r="P112" s="122">
        <v>1</v>
      </c>
      <c r="Q112" s="123" t="s">
        <v>412</v>
      </c>
      <c r="R112" s="124" t="str">
        <f t="shared" si="25"/>
        <v>Impacto</v>
      </c>
      <c r="S112" s="125" t="s">
        <v>16</v>
      </c>
      <c r="T112" s="125" t="s">
        <v>9</v>
      </c>
      <c r="U112" s="126" t="str">
        <f>IF(AND(S112="Preventivo",T112="Automático"),"50%",IF(AND(S112="Preventivo",T112="Manual"),"40%",IF(AND(S112="Detectivo",T112="Automático"),"40%",IF(AND(S112="Detectivo",T112="Manual"),"30%",IF(AND(S112="Correctivo",T112="Automático"),"35%",IF(AND(S112="Correctivo",T112="Manual"),"25%",""))))))</f>
        <v>25%</v>
      </c>
      <c r="V112" s="125" t="s">
        <v>19</v>
      </c>
      <c r="W112" s="125" t="s">
        <v>23</v>
      </c>
      <c r="X112" s="125" t="s">
        <v>118</v>
      </c>
      <c r="Y112" s="127">
        <f>IFERROR(IF(R112="Probabilidad",(J112-(+J112*U112)),IF(R112="Impacto",J112,"")),"")</f>
        <v>0.2</v>
      </c>
      <c r="Z112" s="128" t="str">
        <f>IFERROR(IF(Y112="","",IF(Y112&lt;=0.2,"Muy Baja",IF(Y112&lt;=0.4,"Baja",IF(Y112&lt;=0.6,"Media",IF(Y112&lt;=0.8,"Alta","Muy Alta"))))),"")</f>
        <v>Muy Baja</v>
      </c>
      <c r="AA112" s="129">
        <f>+Y112</f>
        <v>0.2</v>
      </c>
      <c r="AB112" s="128" t="str">
        <f t="shared" ref="AB112:AB117" si="29">IFERROR(IF(AC112="","",IF(AC112&lt;=0.2,"Leve",IF(AC112&lt;=0.4,"Menor",IF(AC112&lt;=0.6,"Moderado",IF(AC112&lt;=0.8,"Mayor","Catastrófico"))))),"")</f>
        <v>Leve</v>
      </c>
      <c r="AC112" s="129">
        <f>IFERROR(IF(R112="Impacto",(N112-(+N112*U112)),IF(R112="Probabilidad",N112,"")),"")</f>
        <v>0.15000000000000002</v>
      </c>
      <c r="AD112" s="130" t="str">
        <f>IFERROR(IF(OR(AND(Z112="Muy Baja",AB112="Leve"),AND(Z112="Muy Baja",AB112="Menor"),AND(Z112="Baja",AB112="Leve")),"Bajo",IF(OR(AND(Z112="Muy baja",AB112="Moderado"),AND(Z112="Baja",AB112="Menor"),AND(Z112="Baja",AB112="Moderado"),AND(Z112="Media",AB112="Leve"),AND(Z112="Media",AB112="Menor"),AND(Z112="Media",AB112="Moderado"),AND(Z112="Alta",AB112="Leve"),AND(Z112="Alta",AB112="Menor")),"Moderado",IF(OR(AND(Z112="Muy Baja",AB112="Mayor"),AND(Z112="Baja",AB112="Mayor"),AND(Z112="Media",AB112="Mayor"),AND(Z112="Alta",AB112="Moderado"),AND(Z112="Alta",AB112="Mayor"),AND(Z112="Muy Alta",AB112="Leve"),AND(Z112="Muy Alta",AB112="Menor"),AND(Z112="Muy Alta",AB112="Moderado"),AND(Z112="Muy Alta",AB112="Mayor")),"Alto",IF(OR(AND(Z112="Muy Baja",AB112="Catastrófico"),AND(Z112="Baja",AB112="Catastrófico"),AND(Z112="Media",AB112="Catastrófico"),AND(Z112="Alta",AB112="Catastrófico"),AND(Z112="Muy Alta",AB112="Catastrófico")),"Extremo","")))),"")</f>
        <v>Bajo</v>
      </c>
      <c r="AE112" s="131" t="s">
        <v>135</v>
      </c>
      <c r="AF112" s="132" t="s">
        <v>415</v>
      </c>
      <c r="AG112" s="132" t="s">
        <v>417</v>
      </c>
      <c r="AH112" s="134">
        <v>44531</v>
      </c>
      <c r="AI112" s="134"/>
      <c r="AJ112" s="132"/>
      <c r="AK112" s="133"/>
    </row>
    <row r="113" spans="1:37" ht="76.5" x14ac:dyDescent="0.3">
      <c r="A113" s="236"/>
      <c r="B113" s="254"/>
      <c r="C113" s="226"/>
      <c r="D113" s="240"/>
      <c r="E113" s="241"/>
      <c r="F113" s="224"/>
      <c r="G113" s="226"/>
      <c r="H113" s="228"/>
      <c r="I113" s="230"/>
      <c r="J113" s="232"/>
      <c r="K113" s="234"/>
      <c r="L113" s="232">
        <f>IF(NOT(ISERROR(MATCH(K113,_xlfn.ANCHORARRAY(F216),0))),J218&amp;"Por favor no seleccionar los criterios de impacto",K113)</f>
        <v>0</v>
      </c>
      <c r="M113" s="230"/>
      <c r="N113" s="232"/>
      <c r="O113" s="215"/>
      <c r="P113" s="122">
        <v>2</v>
      </c>
      <c r="Q113" s="123" t="s">
        <v>413</v>
      </c>
      <c r="R113" s="124" t="str">
        <f t="shared" si="25"/>
        <v>Impacto</v>
      </c>
      <c r="S113" s="125" t="s">
        <v>16</v>
      </c>
      <c r="T113" s="125" t="s">
        <v>9</v>
      </c>
      <c r="U113" s="126" t="str">
        <f>IF(AND(S113="Preventivo",T113="Automático"),"50%",IF(AND(S113="Preventivo",T113="Manual"),"40%",IF(AND(S113="Detectivo",T113="Automático"),"40%",IF(AND(S113="Detectivo",T113="Manual"),"30%",IF(AND(S113="Correctivo",T113="Automático"),"35%",IF(AND(S113="Correctivo",T113="Manual"),"25%",""))))))</f>
        <v>25%</v>
      </c>
      <c r="V113" s="125" t="s">
        <v>20</v>
      </c>
      <c r="W113" s="125" t="s">
        <v>22</v>
      </c>
      <c r="X113" s="125" t="s">
        <v>119</v>
      </c>
      <c r="Y113" s="127">
        <f>IFERROR(IF(AND(R112="Probabilidad",R113="Probabilidad"),(AA112-(+AA112*U113)),IF(R113="Probabilidad",(J112-(+J112*U113)),IF(R113="Impacto",AA112,""))),"")</f>
        <v>0.2</v>
      </c>
      <c r="Z113" s="128" t="str">
        <f t="shared" ref="Z113:Z120" si="30">IFERROR(IF(Y113="","",IF(Y113&lt;=0.2,"Muy Baja",IF(Y113&lt;=0.4,"Baja",IF(Y113&lt;=0.6,"Media",IF(Y113&lt;=0.8,"Alta","Muy Alta"))))),"")</f>
        <v>Muy Baja</v>
      </c>
      <c r="AA113" s="129">
        <f>+Y113</f>
        <v>0.2</v>
      </c>
      <c r="AB113" s="128" t="str">
        <f t="shared" si="29"/>
        <v>Leve</v>
      </c>
      <c r="AC113" s="129">
        <f>IFERROR(IF(AND(R112="Impacto",R113="Impacto"),(AC112-(+AC112*U113)),IF(R113="Impacto",(N112-(+N112*U113)),IF(R113="Probabilidad",AC112,""))),"")</f>
        <v>0.11250000000000002</v>
      </c>
      <c r="AD113" s="130" t="str">
        <f>IFERROR(IF(OR(AND(Z113="Muy Baja",AB113="Leve"),AND(Z113="Muy Baja",AB113="Menor"),AND(Z113="Baja",AB113="Leve")),"Bajo",IF(OR(AND(Z113="Muy baja",AB113="Moderado"),AND(Z113="Baja",AB113="Menor"),AND(Z113="Baja",AB113="Moderado"),AND(Z113="Media",AB113="Leve"),AND(Z113="Media",AB113="Menor"),AND(Z113="Media",AB113="Moderado"),AND(Z113="Alta",AB113="Leve"),AND(Z113="Alta",AB113="Menor")),"Moderado",IF(OR(AND(Z113="Muy Baja",AB113="Mayor"),AND(Z113="Baja",AB113="Mayor"),AND(Z113="Media",AB113="Mayor"),AND(Z113="Alta",AB113="Moderado"),AND(Z113="Alta",AB113="Mayor"),AND(Z113="Muy Alta",AB113="Leve"),AND(Z113="Muy Alta",AB113="Menor"),AND(Z113="Muy Alta",AB113="Moderado"),AND(Z113="Muy Alta",AB113="Mayor")),"Alto",IF(OR(AND(Z113="Muy Baja",AB113="Catastrófico"),AND(Z113="Baja",AB113="Catastrófico"),AND(Z113="Media",AB113="Catastrófico"),AND(Z113="Alta",AB113="Catastrófico"),AND(Z113="Muy Alta",AB113="Catastrófico")),"Extremo","")))),"")</f>
        <v>Bajo</v>
      </c>
      <c r="AE113" s="131" t="s">
        <v>135</v>
      </c>
      <c r="AF113" s="132" t="s">
        <v>416</v>
      </c>
      <c r="AG113" s="132" t="s">
        <v>417</v>
      </c>
      <c r="AH113" s="146" t="s">
        <v>419</v>
      </c>
      <c r="AI113" s="134"/>
      <c r="AJ113" s="132"/>
      <c r="AK113" s="133"/>
    </row>
    <row r="114" spans="1:37" ht="76.5" x14ac:dyDescent="0.3">
      <c r="A114" s="236"/>
      <c r="B114" s="254"/>
      <c r="C114" s="226"/>
      <c r="D114" s="240"/>
      <c r="E114" s="241"/>
      <c r="F114" s="224"/>
      <c r="G114" s="226"/>
      <c r="H114" s="228"/>
      <c r="I114" s="230"/>
      <c r="J114" s="232"/>
      <c r="K114" s="234"/>
      <c r="L114" s="232">
        <f>IF(NOT(ISERROR(MATCH(K114,_xlfn.ANCHORARRAY(F217),0))),J219&amp;"Por favor no seleccionar los criterios de impacto",K114)</f>
        <v>0</v>
      </c>
      <c r="M114" s="230"/>
      <c r="N114" s="232"/>
      <c r="O114" s="215"/>
      <c r="P114" s="122">
        <v>3</v>
      </c>
      <c r="Q114" s="135" t="s">
        <v>414</v>
      </c>
      <c r="R114" s="124" t="str">
        <f t="shared" si="25"/>
        <v>Probabilidad</v>
      </c>
      <c r="S114" s="125" t="s">
        <v>14</v>
      </c>
      <c r="T114" s="125" t="s">
        <v>9</v>
      </c>
      <c r="U114" s="126" t="str">
        <f>IF(AND(S114="Preventivo",T114="Automático"),"50%",IF(AND(S114="Preventivo",T114="Manual"),"40%",IF(AND(S114="Detectivo",T114="Automático"),"40%",IF(AND(S114="Detectivo",T114="Manual"),"30%",IF(AND(S114="Correctivo",T114="Automático"),"35%",IF(AND(S114="Correctivo",T114="Manual"),"25%",""))))))</f>
        <v>40%</v>
      </c>
      <c r="V114" s="125" t="s">
        <v>19</v>
      </c>
      <c r="W114" s="125" t="s">
        <v>23</v>
      </c>
      <c r="X114" s="125" t="s">
        <v>118</v>
      </c>
      <c r="Y114" s="127">
        <f>IFERROR(IF(AND(R113="Probabilidad",R114="Probabilidad"),(AA113-(+AA113*U114)),IF(AND(R113="Impacto",R114="Probabilidad"),(AA112-(+AA112*U114)),IF(R114="Impacto",AA113,""))),"")</f>
        <v>0.12</v>
      </c>
      <c r="Z114" s="128" t="str">
        <f t="shared" si="30"/>
        <v>Muy Baja</v>
      </c>
      <c r="AA114" s="129">
        <f>+Y114</f>
        <v>0.12</v>
      </c>
      <c r="AB114" s="128" t="str">
        <f t="shared" si="29"/>
        <v>Leve</v>
      </c>
      <c r="AC114" s="129">
        <f>IFERROR(IF(AND(R113="Impacto",R114="Impacto"),(AC113-(+AC113*U114)),IF(AND(R113="Probabilidad",R114="Impacto"),(AC112-(+AC112*U114)),IF(R114="Probabilidad",AC113,""))),"")</f>
        <v>0.11250000000000002</v>
      </c>
      <c r="AD114" s="130" t="str">
        <f>IFERROR(IF(OR(AND(Z114="Muy Baja",AB114="Leve"),AND(Z114="Muy Baja",AB114="Menor"),AND(Z114="Baja",AB114="Leve")),"Bajo",IF(OR(AND(Z114="Muy baja",AB114="Moderado"),AND(Z114="Baja",AB114="Menor"),AND(Z114="Baja",AB114="Moderado"),AND(Z114="Media",AB114="Leve"),AND(Z114="Media",AB114="Menor"),AND(Z114="Media",AB114="Moderado"),AND(Z114="Alta",AB114="Leve"),AND(Z114="Alta",AB114="Menor")),"Moderado",IF(OR(AND(Z114="Muy Baja",AB114="Mayor"),AND(Z114="Baja",AB114="Mayor"),AND(Z114="Media",AB114="Mayor"),AND(Z114="Alta",AB114="Moderado"),AND(Z114="Alta",AB114="Mayor"),AND(Z114="Muy Alta",AB114="Leve"),AND(Z114="Muy Alta",AB114="Menor"),AND(Z114="Muy Alta",AB114="Moderado"),AND(Z114="Muy Alta",AB114="Mayor")),"Alto",IF(OR(AND(Z114="Muy Baja",AB114="Catastrófico"),AND(Z114="Baja",AB114="Catastrófico"),AND(Z114="Media",AB114="Catastrófico"),AND(Z114="Alta",AB114="Catastrófico"),AND(Z114="Muy Alta",AB114="Catastrófico")),"Extremo","")))),"")</f>
        <v>Bajo</v>
      </c>
      <c r="AE114" s="131" t="s">
        <v>135</v>
      </c>
      <c r="AF114" s="132" t="s">
        <v>408</v>
      </c>
      <c r="AG114" s="133" t="s">
        <v>418</v>
      </c>
      <c r="AH114" s="134"/>
      <c r="AI114" s="134"/>
      <c r="AJ114" s="132"/>
      <c r="AK114" s="133" t="s">
        <v>364</v>
      </c>
    </row>
    <row r="115" spans="1:37" ht="64.5" customHeight="1" x14ac:dyDescent="0.3">
      <c r="A115" s="312">
        <v>31</v>
      </c>
      <c r="B115" s="216" t="s">
        <v>253</v>
      </c>
      <c r="C115" s="225" t="s">
        <v>131</v>
      </c>
      <c r="D115" s="238" t="s">
        <v>533</v>
      </c>
      <c r="E115" s="239" t="s">
        <v>534</v>
      </c>
      <c r="F115" s="223" t="s">
        <v>535</v>
      </c>
      <c r="G115" s="225" t="s">
        <v>122</v>
      </c>
      <c r="H115" s="227">
        <v>1000</v>
      </c>
      <c r="I115" s="229" t="str">
        <f>IF(H115&lt;=0,"",IF(H115&lt;=2,"Muy Baja",IF(H115&lt;=15,"Baja",IF(H115&lt;=100,"Media",IF(H115&lt;=1000,"Alta","Muy Alta")))))</f>
        <v>Alta</v>
      </c>
      <c r="J115" s="231">
        <v>0.7</v>
      </c>
      <c r="K115" s="233" t="s">
        <v>155</v>
      </c>
      <c r="L115" s="231" t="str">
        <f>IF(NOT(ISERROR(MATCH(K115,'Tabla Impacto'!$B$221:$B$223,0))),'Tabla Impacto'!$F$223&amp;"Por favor no seleccionar los criterios de impacto(Afectación Económica o presupuestal y Pérdida Reputacional)",K115)</f>
        <v xml:space="preserve">     El riesgo afecta la imagen de de la entidad con efecto publicitario sostenido a nivel de sector administrativo, nivel departamental o municipal</v>
      </c>
      <c r="M115" s="229" t="str">
        <f>IF(OR(L115='Tabla Impacto'!$C$11,L115='Tabla Impacto'!$D$11),"Leve",IF(OR(L115='Tabla Impacto'!$C$12,L115='Tabla Impacto'!$D$12),"Menor",IF(OR(L115='Tabla Impacto'!$C$13,L115='Tabla Impacto'!$D$13),"Moderado",IF(OR(L115='Tabla Impacto'!$C$14,L115='Tabla Impacto'!$D$14),"Mayor",IF(OR(L115='Tabla Impacto'!$C$15,L115='Tabla Impacto'!$D$15),"Catastrófico","")))))</f>
        <v>Mayor</v>
      </c>
      <c r="N115" s="231">
        <f>IF(M115="","",IF(M115="Leve",0.2,IF(M115="Menor",0.4,IF(M115="Moderado",0.6,IF(M115="Mayor",0.8,IF(M115="Catastrófico",1,))))))</f>
        <v>0.8</v>
      </c>
      <c r="O115" s="214" t="str">
        <f>IF(OR(AND(I115="Muy Baja",M115="Leve"),AND(I115="Muy Baja",M115="Menor"),AND(I115="Baja",M115="Leve")),"Bajo",IF(OR(AND(I115="Muy baja",M115="Moderado"),AND(I115="Baja",M115="Menor"),AND(I115="Baja",M115="Moderado"),AND(I115="Media",M115="Leve"),AND(I115="Media",M115="Menor"),AND(I115="Media",M115="Moderado"),AND(I115="Alta",M115="Leve"),AND(I115="Alta",M115="Menor")),"Moderado",IF(OR(AND(I115="Muy Baja",M115="Mayor"),AND(I115="Baja",M115="Mayor"),AND(I115="Media",M115="Mayor"),AND(I115="Alta",M115="Moderado"),AND(I115="Alta",M115="Mayor"),AND(I115="Muy Alta",M115="Leve"),AND(I115="Muy Alta",M115="Menor"),AND(I115="Muy Alta",M115="Moderado"),AND(I115="Muy Alta",M115="Mayor")),"Alto",IF(OR(AND(I115="Muy Baja",M115="Catastrófico"),AND(I115="Baja",M115="Catastrófico"),AND(I115="Media",M115="Catastrófico"),AND(I115="Alta",M115="Catastrófico"),AND(I115="Muy Alta",M115="Catastrófico")),"Extremo",""))))</f>
        <v>Alto</v>
      </c>
      <c r="P115" s="122">
        <v>1</v>
      </c>
      <c r="Q115" s="172" t="s">
        <v>520</v>
      </c>
      <c r="R115" s="124" t="str">
        <f>IF(OR(S115="Preventivo",S115="Detectivo"),"Probabilidad",IF(S115="Correctivo","Impacto",""))</f>
        <v>Probabilidad</v>
      </c>
      <c r="S115" s="125" t="s">
        <v>14</v>
      </c>
      <c r="T115" s="125" t="s">
        <v>9</v>
      </c>
      <c r="U115" s="126">
        <v>0.3</v>
      </c>
      <c r="V115" s="125" t="s">
        <v>19</v>
      </c>
      <c r="W115" s="125" t="s">
        <v>22</v>
      </c>
      <c r="X115" s="125" t="s">
        <v>118</v>
      </c>
      <c r="Y115" s="127"/>
      <c r="Z115" s="128" t="str">
        <f>IFERROR(IF(Y115="","",IF(Y115&lt;=0.2,"Muy Baja",IF(Y115&lt;=0.4,"Baja",IF(Y115&lt;=0.6,"Media",IF(Y115&lt;=0.8,"Alta","Muy Alta"))))),"")</f>
        <v/>
      </c>
      <c r="AA115" s="129">
        <v>0.2</v>
      </c>
      <c r="AB115" s="128" t="str">
        <f t="shared" si="29"/>
        <v>Leve</v>
      </c>
      <c r="AC115" s="129">
        <v>0.2</v>
      </c>
      <c r="AD115" s="130"/>
      <c r="AE115" s="131" t="s">
        <v>31</v>
      </c>
      <c r="AF115" s="132"/>
      <c r="AG115" s="133"/>
      <c r="AH115" s="134"/>
      <c r="AI115" s="134"/>
      <c r="AJ115" s="132"/>
      <c r="AK115" s="133"/>
    </row>
    <row r="116" spans="1:37" ht="66" x14ac:dyDescent="0.3">
      <c r="A116" s="313"/>
      <c r="B116" s="217"/>
      <c r="C116" s="226"/>
      <c r="D116" s="240"/>
      <c r="E116" s="241"/>
      <c r="F116" s="224"/>
      <c r="G116" s="226"/>
      <c r="H116" s="228"/>
      <c r="I116" s="230"/>
      <c r="J116" s="232"/>
      <c r="K116" s="234"/>
      <c r="L116" s="232">
        <f>IF(NOT(ISERROR(MATCH(K116,_xlfn.ANCHORARRAY(F215),0))),J217&amp;"Por favor no seleccionar los criterios de impacto",K116)</f>
        <v>0</v>
      </c>
      <c r="M116" s="230"/>
      <c r="N116" s="232"/>
      <c r="O116" s="215"/>
      <c r="P116" s="122">
        <v>2</v>
      </c>
      <c r="Q116" s="172" t="s">
        <v>521</v>
      </c>
      <c r="R116" s="124" t="str">
        <f t="shared" ref="R116:R134" si="31">IF(OR(S116="Preventivo",S116="Detectivo"),"Probabilidad",IF(S116="Correctivo","Impacto",""))</f>
        <v>Probabilidad</v>
      </c>
      <c r="S116" s="125" t="s">
        <v>14</v>
      </c>
      <c r="T116" s="125" t="s">
        <v>9</v>
      </c>
      <c r="U116" s="126">
        <v>0.2</v>
      </c>
      <c r="V116" s="125" t="s">
        <v>19</v>
      </c>
      <c r="W116" s="125" t="s">
        <v>22</v>
      </c>
      <c r="X116" s="125" t="s">
        <v>118</v>
      </c>
      <c r="Y116" s="127"/>
      <c r="Z116" s="128" t="str">
        <f t="shared" si="30"/>
        <v/>
      </c>
      <c r="AA116" s="129">
        <v>0.2</v>
      </c>
      <c r="AB116" s="128" t="str">
        <f t="shared" si="29"/>
        <v>Leve</v>
      </c>
      <c r="AC116" s="129">
        <v>0.2</v>
      </c>
      <c r="AD116" s="130"/>
      <c r="AE116" s="131" t="s">
        <v>31</v>
      </c>
      <c r="AF116" s="132"/>
      <c r="AG116" s="133"/>
      <c r="AH116" s="134"/>
      <c r="AI116" s="134"/>
      <c r="AJ116" s="132"/>
      <c r="AK116" s="133"/>
    </row>
    <row r="117" spans="1:37" ht="82.5" x14ac:dyDescent="0.3">
      <c r="A117" s="313"/>
      <c r="B117" s="217"/>
      <c r="C117" s="226"/>
      <c r="D117" s="240"/>
      <c r="E117" s="241"/>
      <c r="F117" s="224"/>
      <c r="G117" s="226"/>
      <c r="H117" s="228"/>
      <c r="I117" s="230"/>
      <c r="J117" s="232"/>
      <c r="K117" s="234"/>
      <c r="L117" s="232">
        <f>IF(NOT(ISERROR(MATCH(K117,_xlfn.ANCHORARRAY(F216),0))),J218&amp;"Por favor no seleccionar los criterios de impacto",K117)</f>
        <v>0</v>
      </c>
      <c r="M117" s="230"/>
      <c r="N117" s="232"/>
      <c r="O117" s="215"/>
      <c r="P117" s="122">
        <v>3</v>
      </c>
      <c r="Q117" s="172" t="s">
        <v>522</v>
      </c>
      <c r="R117" s="124" t="str">
        <f t="shared" si="31"/>
        <v>Probabilidad</v>
      </c>
      <c r="S117" s="125" t="s">
        <v>14</v>
      </c>
      <c r="T117" s="125" t="s">
        <v>9</v>
      </c>
      <c r="U117" s="126">
        <v>0.2</v>
      </c>
      <c r="V117" s="125" t="s">
        <v>19</v>
      </c>
      <c r="W117" s="125" t="s">
        <v>22</v>
      </c>
      <c r="X117" s="125" t="s">
        <v>118</v>
      </c>
      <c r="Y117" s="127"/>
      <c r="Z117" s="128" t="str">
        <f t="shared" si="30"/>
        <v/>
      </c>
      <c r="AA117" s="129">
        <v>0.2</v>
      </c>
      <c r="AB117" s="128" t="str">
        <f t="shared" si="29"/>
        <v>Leve</v>
      </c>
      <c r="AC117" s="129">
        <v>0.2</v>
      </c>
      <c r="AD117" s="130"/>
      <c r="AE117" s="131" t="s">
        <v>31</v>
      </c>
      <c r="AF117" s="132"/>
      <c r="AG117" s="133"/>
      <c r="AH117" s="134"/>
      <c r="AI117" s="134"/>
      <c r="AJ117" s="132"/>
      <c r="AK117" s="133"/>
    </row>
    <row r="118" spans="1:37" x14ac:dyDescent="0.3">
      <c r="A118" s="313"/>
      <c r="B118" s="217"/>
      <c r="C118" s="226"/>
      <c r="D118" s="240"/>
      <c r="E118" s="241"/>
      <c r="F118" s="224"/>
      <c r="G118" s="226"/>
      <c r="H118" s="228"/>
      <c r="I118" s="230"/>
      <c r="J118" s="232"/>
      <c r="K118" s="234"/>
      <c r="L118" s="232">
        <f>IF(NOT(ISERROR(MATCH(K118,_xlfn.ANCHORARRAY(F217),0))),J219&amp;"Por favor no seleccionar los criterios de impacto",K118)</f>
        <v>0</v>
      </c>
      <c r="M118" s="230"/>
      <c r="N118" s="232"/>
      <c r="O118" s="215"/>
      <c r="P118" s="122">
        <v>4</v>
      </c>
      <c r="Q118" s="123"/>
      <c r="R118" s="124" t="str">
        <f t="shared" si="31"/>
        <v/>
      </c>
      <c r="S118" s="125"/>
      <c r="T118" s="125"/>
      <c r="U118" s="126"/>
      <c r="V118" s="125"/>
      <c r="W118" s="125"/>
      <c r="X118" s="125"/>
      <c r="Y118" s="127"/>
      <c r="Z118" s="128" t="str">
        <f t="shared" si="30"/>
        <v/>
      </c>
      <c r="AA118" s="129"/>
      <c r="AB118" s="128"/>
      <c r="AC118" s="129"/>
      <c r="AD118" s="130"/>
      <c r="AE118" s="131"/>
      <c r="AF118" s="132"/>
      <c r="AG118" s="133"/>
      <c r="AH118" s="134"/>
      <c r="AI118" s="134"/>
      <c r="AJ118" s="132"/>
      <c r="AK118" s="133"/>
    </row>
    <row r="119" spans="1:37" x14ac:dyDescent="0.3">
      <c r="A119" s="313"/>
      <c r="B119" s="217"/>
      <c r="C119" s="226"/>
      <c r="D119" s="240"/>
      <c r="E119" s="241"/>
      <c r="F119" s="224"/>
      <c r="G119" s="226"/>
      <c r="H119" s="228"/>
      <c r="I119" s="230"/>
      <c r="J119" s="232"/>
      <c r="K119" s="234"/>
      <c r="L119" s="232">
        <f>IF(NOT(ISERROR(MATCH(K119,_xlfn.ANCHORARRAY(F218),0))),J220&amp;"Por favor no seleccionar los criterios de impacto",K119)</f>
        <v>0</v>
      </c>
      <c r="M119" s="230"/>
      <c r="N119" s="232"/>
      <c r="O119" s="215"/>
      <c r="P119" s="122">
        <v>5</v>
      </c>
      <c r="Q119" s="123"/>
      <c r="R119" s="124" t="str">
        <f t="shared" si="31"/>
        <v/>
      </c>
      <c r="S119" s="125"/>
      <c r="T119" s="125"/>
      <c r="U119" s="126"/>
      <c r="V119" s="125"/>
      <c r="W119" s="125"/>
      <c r="X119" s="125"/>
      <c r="Y119" s="127"/>
      <c r="Z119" s="128" t="str">
        <f t="shared" si="30"/>
        <v/>
      </c>
      <c r="AA119" s="129"/>
      <c r="AB119" s="128"/>
      <c r="AC119" s="129"/>
      <c r="AD119" s="130"/>
      <c r="AE119" s="131"/>
      <c r="AF119" s="132"/>
      <c r="AG119" s="133"/>
      <c r="AH119" s="134"/>
      <c r="AI119" s="134"/>
      <c r="AJ119" s="132"/>
      <c r="AK119" s="133"/>
    </row>
    <row r="120" spans="1:37" ht="57.75" customHeight="1" x14ac:dyDescent="0.3">
      <c r="A120" s="314"/>
      <c r="B120" s="217"/>
      <c r="C120" s="252"/>
      <c r="D120" s="242"/>
      <c r="E120" s="243"/>
      <c r="F120" s="255"/>
      <c r="G120" s="252"/>
      <c r="H120" s="256"/>
      <c r="I120" s="257"/>
      <c r="J120" s="259"/>
      <c r="K120" s="258"/>
      <c r="L120" s="259">
        <f>IF(NOT(ISERROR(MATCH(K120,_xlfn.ANCHORARRAY(F219),0))),J221&amp;"Por favor no seleccionar los criterios de impacto",K120)</f>
        <v>0</v>
      </c>
      <c r="M120" s="257"/>
      <c r="N120" s="259"/>
      <c r="O120" s="266"/>
      <c r="P120" s="122">
        <v>6</v>
      </c>
      <c r="Q120" s="123"/>
      <c r="R120" s="124" t="str">
        <f t="shared" si="31"/>
        <v/>
      </c>
      <c r="S120" s="125"/>
      <c r="T120" s="125"/>
      <c r="U120" s="126"/>
      <c r="V120" s="125"/>
      <c r="W120" s="125"/>
      <c r="X120" s="125"/>
      <c r="Y120" s="127"/>
      <c r="Z120" s="128" t="str">
        <f t="shared" si="30"/>
        <v/>
      </c>
      <c r="AA120" s="129"/>
      <c r="AB120" s="128"/>
      <c r="AC120" s="129"/>
      <c r="AD120" s="130"/>
      <c r="AE120" s="131"/>
      <c r="AF120" s="132"/>
      <c r="AG120" s="133"/>
      <c r="AH120" s="134"/>
      <c r="AI120" s="134"/>
      <c r="AJ120" s="132"/>
      <c r="AK120" s="133"/>
    </row>
    <row r="121" spans="1:37" ht="76.5" customHeight="1" x14ac:dyDescent="0.3">
      <c r="A121" s="235">
        <v>32</v>
      </c>
      <c r="B121" s="217"/>
      <c r="C121" s="225" t="s">
        <v>133</v>
      </c>
      <c r="D121" s="238" t="s">
        <v>523</v>
      </c>
      <c r="E121" s="239" t="s">
        <v>514</v>
      </c>
      <c r="F121" s="223" t="s">
        <v>536</v>
      </c>
      <c r="G121" s="225" t="s">
        <v>122</v>
      </c>
      <c r="H121" s="227">
        <v>1000</v>
      </c>
      <c r="I121" s="229" t="str">
        <f>IF(H121&lt;=0,"",IF(H121&lt;=2,"Muy Baja",IF(H121&lt;=15,"Baja",IF(H121&lt;=100,"Media",IF(H121&lt;=1000,"Alta","Muy Alta")))))</f>
        <v>Alta</v>
      </c>
      <c r="J121" s="231">
        <f>IF(I121="","",IF(I121="Muy Baja",0.2,IF(I121="Baja",0.4,IF(I121="Media",0.6,IF(I121="Alta",0.8,IF(I121="Muy Alta",1,))))))</f>
        <v>0.8</v>
      </c>
      <c r="K121" s="233" t="s">
        <v>155</v>
      </c>
      <c r="L121" s="231" t="str">
        <f>IF(NOT(ISERROR(MATCH(K121,'Tabla Impacto'!$B$221:$B$223,0))),'Tabla Impacto'!$F$223&amp;"Por favor no seleccionar los criterios de impacto(Afectación Económica o presupuestal y Pérdida Reputacional)",K121)</f>
        <v xml:space="preserve">     El riesgo afecta la imagen de de la entidad con efecto publicitario sostenido a nivel de sector administrativo, nivel departamental o municipal</v>
      </c>
      <c r="M121" s="229" t="str">
        <f>IF(OR(L121='Tabla Impacto'!$C$11,L121='Tabla Impacto'!$D$11),"Leve",IF(OR(L121='Tabla Impacto'!$C$12,L121='Tabla Impacto'!$D$12),"Menor",IF(OR(L121='Tabla Impacto'!$C$13,L121='Tabla Impacto'!$D$13),"Moderado",IF(OR(L121='Tabla Impacto'!$C$14,L121='Tabla Impacto'!$D$14),"Mayor",IF(OR(L121='Tabla Impacto'!$C$15,L121='Tabla Impacto'!$D$15),"Catastrófico","")))))</f>
        <v>Mayor</v>
      </c>
      <c r="N121" s="231">
        <f>IF(M121="","",IF(M121="Leve",0.2,IF(M121="Menor",0.4,IF(M121="Moderado",0.6,IF(M121="Mayor",0.8,IF(M121="Catastrófico",1,))))))</f>
        <v>0.8</v>
      </c>
      <c r="O121" s="214" t="str">
        <f>IF(OR(AND(I121="Muy Baja",M121="Leve"),AND(I121="Muy Baja",M121="Menor"),AND(I121="Baja",M121="Leve")),"Bajo",IF(OR(AND(I121="Muy baja",M121="Moderado"),AND(I121="Baja",M121="Menor"),AND(I121="Baja",M121="Moderado"),AND(I121="Media",M121="Leve"),AND(I121="Media",M121="Menor"),AND(I121="Media",M121="Moderado"),AND(I121="Alta",M121="Leve"),AND(I121="Alta",M121="Menor")),"Moderado",IF(OR(AND(I121="Muy Baja",M121="Mayor"),AND(I121="Baja",M121="Mayor"),AND(I121="Media",M121="Mayor"),AND(I121="Alta",M121="Moderado"),AND(I121="Alta",M121="Mayor"),AND(I121="Muy Alta",M121="Leve"),AND(I121="Muy Alta",M121="Menor"),AND(I121="Muy Alta",M121="Moderado"),AND(I121="Muy Alta",M121="Mayor")),"Alto",IF(OR(AND(I121="Muy Baja",M121="Catastrófico"),AND(I121="Baja",M121="Catastrófico"),AND(I121="Media",M121="Catastrófico"),AND(I121="Alta",M121="Catastrófico"),AND(I121="Muy Alta",M121="Catastrófico")),"Extremo",""))))</f>
        <v>Alto</v>
      </c>
      <c r="P121" s="122">
        <v>1</v>
      </c>
      <c r="Q121" s="123" t="s">
        <v>537</v>
      </c>
      <c r="R121" s="124" t="str">
        <f t="shared" si="31"/>
        <v>Probabilidad</v>
      </c>
      <c r="S121" s="125" t="s">
        <v>14</v>
      </c>
      <c r="T121" s="125" t="s">
        <v>9</v>
      </c>
      <c r="U121" s="126" t="str">
        <f t="shared" ref="U121:U134" si="32">IF(AND(S121="Preventivo",T121="Automático"),"50%",IF(AND(S121="Preventivo",T121="Manual"),"40%",IF(AND(S121="Detectivo",T121="Automático"),"40%",IF(AND(S121="Detectivo",T121="Manual"),"30%",IF(AND(S121="Correctivo",T121="Automático"),"35%",IF(AND(S121="Correctivo",T121="Manual"),"25%",""))))))</f>
        <v>40%</v>
      </c>
      <c r="V121" s="125" t="s">
        <v>19</v>
      </c>
      <c r="W121" s="125" t="s">
        <v>23</v>
      </c>
      <c r="X121" s="125" t="s">
        <v>118</v>
      </c>
      <c r="Y121" s="127">
        <f>IFERROR(IF(R121="Probabilidad",(J121-(+J121*U121)),IF(R121="Impacto",J121,"")),"")</f>
        <v>0.48</v>
      </c>
      <c r="Z121" s="128" t="str">
        <f t="shared" ref="Z121:Z136" si="33">IFERROR(IF(Y121="","",IF(Y121&lt;=0.2,"Muy Baja",IF(Y121&lt;=0.4,"Baja",IF(Y121&lt;=0.6,"Media",IF(Y121&lt;=0.8,"Alta","Muy Alta"))))),"")</f>
        <v>Media</v>
      </c>
      <c r="AA121" s="129">
        <f t="shared" ref="AA121:AA134" si="34">+Y121</f>
        <v>0.48</v>
      </c>
      <c r="AB121" s="128" t="str">
        <f t="shared" ref="AB121:AB136" si="35">IFERROR(IF(AC121="","",IF(AC121&lt;=0.2,"Leve",IF(AC121&lt;=0.4,"Menor",IF(AC121&lt;=0.6,"Moderado",IF(AC121&lt;=0.8,"Mayor","Catastrófico"))))),"")</f>
        <v>Mayor</v>
      </c>
      <c r="AC121" s="129">
        <f>IFERROR(IF(R121="Impacto",(N121-(+N121*U121)),IF(R121="Probabilidad",N121,"")),"")</f>
        <v>0.8</v>
      </c>
      <c r="AD121" s="130" t="str">
        <f t="shared" ref="AD121:AD134" si="36">IFERROR(IF(OR(AND(Z121="Muy Baja",AB121="Leve"),AND(Z121="Muy Baja",AB121="Menor"),AND(Z121="Baja",AB121="Leve")),"Bajo",IF(OR(AND(Z121="Muy baja",AB121="Moderado"),AND(Z121="Baja",AB121="Menor"),AND(Z121="Baja",AB121="Moderado"),AND(Z121="Media",AB121="Leve"),AND(Z121="Media",AB121="Menor"),AND(Z121="Media",AB121="Moderado"),AND(Z121="Alta",AB121="Leve"),AND(Z121="Alta",AB121="Menor")),"Moderado",IF(OR(AND(Z121="Muy Baja",AB121="Mayor"),AND(Z121="Baja",AB121="Mayor"),AND(Z121="Media",AB121="Mayor"),AND(Z121="Alta",AB121="Moderado"),AND(Z121="Alta",AB121="Mayor"),AND(Z121="Muy Alta",AB121="Leve"),AND(Z121="Muy Alta",AB121="Menor"),AND(Z121="Muy Alta",AB121="Moderado"),AND(Z121="Muy Alta",AB121="Mayor")),"Alto",IF(OR(AND(Z121="Muy Baja",AB121="Catastrófico"),AND(Z121="Baja",AB121="Catastrófico"),AND(Z121="Media",AB121="Catastrófico"),AND(Z121="Alta",AB121="Catastrófico"),AND(Z121="Muy Alta",AB121="Catastrófico")),"Extremo","")))),"")</f>
        <v>Alto</v>
      </c>
      <c r="AE121" s="131" t="s">
        <v>135</v>
      </c>
      <c r="AF121" s="132" t="s">
        <v>433</v>
      </c>
      <c r="AG121" s="149" t="s">
        <v>434</v>
      </c>
      <c r="AH121" s="134" t="s">
        <v>398</v>
      </c>
      <c r="AI121" s="134" t="s">
        <v>435</v>
      </c>
      <c r="AJ121" s="134" t="s">
        <v>435</v>
      </c>
      <c r="AK121" s="133" t="s">
        <v>41</v>
      </c>
    </row>
    <row r="122" spans="1:37" ht="76.5" x14ac:dyDescent="0.3">
      <c r="A122" s="236"/>
      <c r="B122" s="217"/>
      <c r="C122" s="226"/>
      <c r="D122" s="242"/>
      <c r="E122" s="243"/>
      <c r="F122" s="224"/>
      <c r="G122" s="226"/>
      <c r="H122" s="228"/>
      <c r="I122" s="230"/>
      <c r="J122" s="232"/>
      <c r="K122" s="234"/>
      <c r="L122" s="232">
        <f>IF(NOT(ISERROR(MATCH(K122,_xlfn.ANCHORARRAY(F127),0))),J129&amp;"Por favor no seleccionar los criterios de impacto",K122)</f>
        <v>0</v>
      </c>
      <c r="M122" s="230"/>
      <c r="N122" s="232"/>
      <c r="O122" s="215"/>
      <c r="P122" s="122">
        <v>2</v>
      </c>
      <c r="Q122" s="123" t="s">
        <v>538</v>
      </c>
      <c r="R122" s="124" t="str">
        <f t="shared" si="31"/>
        <v>Probabilidad</v>
      </c>
      <c r="S122" s="125" t="s">
        <v>14</v>
      </c>
      <c r="T122" s="125" t="s">
        <v>9</v>
      </c>
      <c r="U122" s="126" t="str">
        <f t="shared" si="32"/>
        <v>40%</v>
      </c>
      <c r="V122" s="125" t="s">
        <v>20</v>
      </c>
      <c r="W122" s="125" t="s">
        <v>22</v>
      </c>
      <c r="X122" s="125" t="s">
        <v>119</v>
      </c>
      <c r="Y122" s="127">
        <f>IFERROR(IF(AND(R121="Probabilidad",R122="Probabilidad"),(AA121-(+AA121*U122)),IF(R122="Probabilidad",(J121-(+J121*U122)),IF(R122="Impacto",AA121,""))),"")</f>
        <v>0.28799999999999998</v>
      </c>
      <c r="Z122" s="128" t="str">
        <f t="shared" si="33"/>
        <v>Baja</v>
      </c>
      <c r="AA122" s="129">
        <f t="shared" si="34"/>
        <v>0.28799999999999998</v>
      </c>
      <c r="AB122" s="128" t="str">
        <f t="shared" si="35"/>
        <v>Mayor</v>
      </c>
      <c r="AC122" s="129">
        <f>IFERROR(IF(AND(R121="Impacto",R122="Impacto"),(AC121-(+AC121*U122)),IF(R122="Impacto",(N121-(+N121*U122)),IF(R122="Probabilidad",AC121,""))),"")</f>
        <v>0.8</v>
      </c>
      <c r="AD122" s="130" t="str">
        <f t="shared" si="36"/>
        <v>Alto</v>
      </c>
      <c r="AE122" s="131" t="s">
        <v>135</v>
      </c>
      <c r="AF122" s="132" t="s">
        <v>436</v>
      </c>
      <c r="AG122" s="149" t="s">
        <v>434</v>
      </c>
      <c r="AH122" s="150" t="s">
        <v>398</v>
      </c>
      <c r="AI122" s="150" t="s">
        <v>435</v>
      </c>
      <c r="AJ122" s="150" t="s">
        <v>435</v>
      </c>
      <c r="AK122" s="133" t="s">
        <v>41</v>
      </c>
    </row>
    <row r="123" spans="1:37" ht="82.5" x14ac:dyDescent="0.3">
      <c r="A123" s="235">
        <v>33</v>
      </c>
      <c r="B123" s="217"/>
      <c r="C123" s="225" t="s">
        <v>131</v>
      </c>
      <c r="D123" s="225" t="s">
        <v>528</v>
      </c>
      <c r="E123" s="225" t="s">
        <v>525</v>
      </c>
      <c r="F123" s="223" t="s">
        <v>539</v>
      </c>
      <c r="G123" s="225" t="s">
        <v>127</v>
      </c>
      <c r="H123" s="227">
        <v>10</v>
      </c>
      <c r="I123" s="229" t="str">
        <f>IF(H123&lt;=0,"",IF(H123&lt;=2,"Muy Baja",IF(H123&lt;=15,"Baja",IF(H123&lt;=100,"Media",IF(H123&lt;=1000,"Alta","Muy Alta")))))</f>
        <v>Baja</v>
      </c>
      <c r="J123" s="231">
        <f>IF(I123="","",IF(I123="Muy Baja",0.2,IF(I123="Baja",0.4,IF(I123="Media",0.6,IF(I123="Alta",0.8,IF(I123="Muy Alta",1,))))))</f>
        <v>0.4</v>
      </c>
      <c r="K123" s="233" t="s">
        <v>152</v>
      </c>
      <c r="L123" s="231" t="str">
        <f>IF(NOT(ISERROR(MATCH(K123,'Tabla Impacto'!$B$221:$B$223,0))),'Tabla Impacto'!$F$223&amp;"Por favor no seleccionar los criterios de impacto(Afectación Económica o presupuestal y Pérdida Reputacional)",K123)</f>
        <v xml:space="preserve">     El riesgo afecta la imagen de alguna área de la organización</v>
      </c>
      <c r="M123" s="229" t="str">
        <f>IF(OR(L123='Tabla Impacto'!$C$11,L123='Tabla Impacto'!$D$11),"Leve",IF(OR(L123='Tabla Impacto'!$C$12,L123='Tabla Impacto'!$D$12),"Menor",IF(OR(L123='Tabla Impacto'!$C$13,L123='Tabla Impacto'!$D$13),"Moderado",IF(OR(L123='Tabla Impacto'!$C$14,L123='Tabla Impacto'!$D$14),"Mayor",IF(OR(L123='Tabla Impacto'!$C$15,L123='Tabla Impacto'!$D$15),"Catastrófico","")))))</f>
        <v>Leve</v>
      </c>
      <c r="N123" s="231">
        <f>IF(M123="","",IF(M123="Leve",0.2,IF(M123="Menor",0.4,IF(M123="Moderado",0.6,IF(M123="Mayor",0.8,IF(M123="Catastrófico",1,))))))</f>
        <v>0.2</v>
      </c>
      <c r="O123" s="214" t="str">
        <f>IF(OR(AND(I123="Muy Baja",M123="Leve"),AND(I123="Muy Baja",M123="Menor"),AND(I123="Baja",M123="Leve")),"Bajo",IF(OR(AND(I123="Muy baja",M123="Moderado"),AND(I123="Baja",M123="Menor"),AND(I123="Baja",M123="Moderado"),AND(I123="Media",M123="Leve"),AND(I123="Media",M123="Menor"),AND(I123="Media",M123="Moderado"),AND(I123="Alta",M123="Leve"),AND(I123="Alta",M123="Menor")),"Moderado",IF(OR(AND(I123="Muy Baja",M123="Mayor"),AND(I123="Baja",M123="Mayor"),AND(I123="Media",M123="Mayor"),AND(I123="Alta",M123="Moderado"),AND(I123="Alta",M123="Mayor"),AND(I123="Muy Alta",M123="Leve"),AND(I123="Muy Alta",M123="Menor"),AND(I123="Muy Alta",M123="Moderado"),AND(I123="Muy Alta",M123="Mayor")),"Alto",IF(OR(AND(I123="Muy Baja",M123="Catastrófico"),AND(I123="Baja",M123="Catastrófico"),AND(I123="Media",M123="Catastrófico"),AND(I123="Alta",M123="Catastrófico"),AND(I123="Muy Alta",M123="Catastrófico")),"Extremo",""))))</f>
        <v>Bajo</v>
      </c>
      <c r="P123" s="122">
        <v>1</v>
      </c>
      <c r="Q123" s="172" t="s">
        <v>524</v>
      </c>
      <c r="R123" s="124" t="str">
        <f t="shared" si="31"/>
        <v>Probabilidad</v>
      </c>
      <c r="S123" s="125" t="s">
        <v>14</v>
      </c>
      <c r="T123" s="125" t="s">
        <v>9</v>
      </c>
      <c r="U123" s="126" t="str">
        <f t="shared" si="32"/>
        <v>40%</v>
      </c>
      <c r="V123" s="125" t="s">
        <v>19</v>
      </c>
      <c r="W123" s="125" t="s">
        <v>23</v>
      </c>
      <c r="X123" s="125" t="s">
        <v>119</v>
      </c>
      <c r="Y123" s="127">
        <f>IFERROR(IF(R123="Probabilidad",(J123-(+J123*U123)),IF(R123="Impacto",J123,"")),"")</f>
        <v>0.24</v>
      </c>
      <c r="Z123" s="128" t="str">
        <f t="shared" si="33"/>
        <v>Baja</v>
      </c>
      <c r="AA123" s="129">
        <f t="shared" si="34"/>
        <v>0.24</v>
      </c>
      <c r="AB123" s="128" t="str">
        <f t="shared" si="35"/>
        <v>Leve</v>
      </c>
      <c r="AC123" s="129">
        <f>IFERROR(IF(R123="Impacto",(N123-(+N123*U123)),IF(R123="Probabilidad",N123,"")),"")</f>
        <v>0.2</v>
      </c>
      <c r="AD123" s="130" t="str">
        <f t="shared" si="36"/>
        <v>Bajo</v>
      </c>
      <c r="AE123" s="131" t="s">
        <v>135</v>
      </c>
      <c r="AF123" s="132" t="s">
        <v>439</v>
      </c>
      <c r="AG123" s="149" t="s">
        <v>440</v>
      </c>
      <c r="AH123" s="150" t="s">
        <v>398</v>
      </c>
      <c r="AI123" s="134"/>
      <c r="AJ123" s="132" t="s">
        <v>357</v>
      </c>
      <c r="AK123" s="133" t="s">
        <v>41</v>
      </c>
    </row>
    <row r="124" spans="1:37" ht="132" x14ac:dyDescent="0.3">
      <c r="A124" s="236"/>
      <c r="B124" s="217"/>
      <c r="C124" s="226"/>
      <c r="D124" s="226"/>
      <c r="E124" s="226"/>
      <c r="F124" s="224"/>
      <c r="G124" s="226"/>
      <c r="H124" s="228"/>
      <c r="I124" s="230"/>
      <c r="J124" s="232"/>
      <c r="K124" s="234"/>
      <c r="L124" s="232">
        <f>IF(NOT(ISERROR(MATCH(K124,_xlfn.ANCHORARRAY(F130),0))),J132&amp;"Por favor no seleccionar los criterios de impacto",K124)</f>
        <v>0</v>
      </c>
      <c r="M124" s="230"/>
      <c r="N124" s="232"/>
      <c r="O124" s="215"/>
      <c r="P124" s="122">
        <v>2</v>
      </c>
      <c r="Q124" s="173" t="s">
        <v>529</v>
      </c>
      <c r="R124" s="124" t="str">
        <f t="shared" si="31"/>
        <v>Impacto</v>
      </c>
      <c r="S124" s="125" t="s">
        <v>16</v>
      </c>
      <c r="T124" s="125" t="s">
        <v>9</v>
      </c>
      <c r="U124" s="126" t="str">
        <f t="shared" si="32"/>
        <v>25%</v>
      </c>
      <c r="V124" s="125" t="s">
        <v>19</v>
      </c>
      <c r="W124" s="125" t="s">
        <v>22</v>
      </c>
      <c r="X124" s="125" t="s">
        <v>118</v>
      </c>
      <c r="Y124" s="127">
        <f>IFERROR(IF(AND(R123="Probabilidad",R124="Probabilidad"),(AA123-(+AA123*U124)),IF(R124="Probabilidad",(J123-(+J123*U124)),IF(R124="Impacto",AA123,""))),"")</f>
        <v>0.24</v>
      </c>
      <c r="Z124" s="128" t="str">
        <f t="shared" si="33"/>
        <v>Baja</v>
      </c>
      <c r="AA124" s="129">
        <f t="shared" si="34"/>
        <v>0.24</v>
      </c>
      <c r="AB124" s="128" t="str">
        <f t="shared" si="35"/>
        <v>Leve</v>
      </c>
      <c r="AC124" s="129">
        <f>IFERROR(IF(AND(R123="Impacto",R124="Impacto"),(AC123-(+AC123*U124)),IF(R124="Impacto",(N123-(+N123*U124)),IF(R124="Probabilidad",AC123,""))),"")</f>
        <v>0.15000000000000002</v>
      </c>
      <c r="AD124" s="130" t="str">
        <f t="shared" si="36"/>
        <v>Bajo</v>
      </c>
      <c r="AE124" s="131" t="s">
        <v>135</v>
      </c>
      <c r="AF124" s="132" t="s">
        <v>442</v>
      </c>
      <c r="AG124" s="149" t="s">
        <v>434</v>
      </c>
      <c r="AH124" s="150" t="s">
        <v>399</v>
      </c>
      <c r="AI124" s="150" t="s">
        <v>407</v>
      </c>
      <c r="AJ124" s="149" t="s">
        <v>357</v>
      </c>
      <c r="AK124" s="145" t="s">
        <v>41</v>
      </c>
    </row>
    <row r="125" spans="1:37" ht="54" customHeight="1" x14ac:dyDescent="0.3">
      <c r="A125" s="236"/>
      <c r="B125" s="217"/>
      <c r="C125" s="226"/>
      <c r="D125" s="226"/>
      <c r="E125" s="226"/>
      <c r="F125" s="224"/>
      <c r="G125" s="226"/>
      <c r="H125" s="228"/>
      <c r="I125" s="230"/>
      <c r="J125" s="232"/>
      <c r="K125" s="234"/>
      <c r="L125" s="232">
        <f>IF(NOT(ISERROR(MATCH(K125,_xlfn.ANCHORARRAY(F131),0))),J133&amp;"Por favor no seleccionar los criterios de impacto",K125)</f>
        <v>0</v>
      </c>
      <c r="M125" s="230"/>
      <c r="N125" s="232"/>
      <c r="O125" s="215"/>
      <c r="P125" s="122">
        <v>3</v>
      </c>
      <c r="Q125" s="172" t="s">
        <v>527</v>
      </c>
      <c r="R125" s="124" t="str">
        <f t="shared" si="31"/>
        <v>Probabilidad</v>
      </c>
      <c r="S125" s="125" t="s">
        <v>14</v>
      </c>
      <c r="T125" s="125" t="s">
        <v>9</v>
      </c>
      <c r="U125" s="126" t="str">
        <f t="shared" si="32"/>
        <v>40%</v>
      </c>
      <c r="V125" s="125" t="s">
        <v>19</v>
      </c>
      <c r="W125" s="125" t="s">
        <v>23</v>
      </c>
      <c r="X125" s="125" t="s">
        <v>118</v>
      </c>
      <c r="Y125" s="127">
        <f>IFERROR(IF(AND(R124="Probabilidad",R125="Probabilidad"),(AA124-(+AA124*U125)),IF(AND(R124="Impacto",R125="Probabilidad"),(AA123-(+AA123*U125)),IF(R125="Impacto",AA124,""))),"")</f>
        <v>0.14399999999999999</v>
      </c>
      <c r="Z125" s="128" t="str">
        <f t="shared" si="33"/>
        <v>Muy Baja</v>
      </c>
      <c r="AA125" s="129">
        <f t="shared" si="34"/>
        <v>0.14399999999999999</v>
      </c>
      <c r="AB125" s="128" t="str">
        <f t="shared" si="35"/>
        <v>Leve</v>
      </c>
      <c r="AC125" s="129">
        <f>IFERROR(IF(AND(R124="Impacto",R125="Impacto"),(AC124-(+AC124*U125)),IF(AND(R124="Probabilidad",R125="Impacto"),(AC123-(+AC123*U125)),IF(R125="Probabilidad",AC124,""))),"")</f>
        <v>0.15000000000000002</v>
      </c>
      <c r="AD125" s="130" t="str">
        <f t="shared" si="36"/>
        <v>Bajo</v>
      </c>
      <c r="AE125" s="131" t="s">
        <v>135</v>
      </c>
      <c r="AF125" s="132" t="s">
        <v>444</v>
      </c>
      <c r="AG125" s="149" t="s">
        <v>434</v>
      </c>
      <c r="AH125" s="151" t="s">
        <v>399</v>
      </c>
      <c r="AI125" s="151" t="s">
        <v>446</v>
      </c>
      <c r="AJ125" s="149" t="s">
        <v>346</v>
      </c>
      <c r="AK125" s="145" t="s">
        <v>41</v>
      </c>
    </row>
    <row r="126" spans="1:37" ht="82.5" customHeight="1" x14ac:dyDescent="0.3">
      <c r="A126" s="236"/>
      <c r="B126" s="217"/>
      <c r="C126" s="226"/>
      <c r="D126" s="226"/>
      <c r="E126" s="226"/>
      <c r="F126" s="224"/>
      <c r="G126" s="226"/>
      <c r="H126" s="228"/>
      <c r="I126" s="230"/>
      <c r="J126" s="232"/>
      <c r="K126" s="234"/>
      <c r="L126" s="232">
        <f>IF(NOT(ISERROR(MATCH(K126,_xlfn.ANCHORARRAY(F132),0))),J134&amp;"Por favor no seleccionar los criterios de impacto",K126)</f>
        <v>0</v>
      </c>
      <c r="M126" s="230"/>
      <c r="N126" s="232"/>
      <c r="O126" s="215"/>
      <c r="P126" s="122">
        <v>4</v>
      </c>
      <c r="Q126" s="172" t="s">
        <v>526</v>
      </c>
      <c r="R126" s="124" t="str">
        <f t="shared" si="31"/>
        <v>Probabilidad</v>
      </c>
      <c r="S126" s="125" t="s">
        <v>14</v>
      </c>
      <c r="T126" s="125" t="s">
        <v>9</v>
      </c>
      <c r="U126" s="126" t="str">
        <f t="shared" si="32"/>
        <v>40%</v>
      </c>
      <c r="V126" s="125" t="s">
        <v>20</v>
      </c>
      <c r="W126" s="125" t="s">
        <v>23</v>
      </c>
      <c r="X126" s="125" t="s">
        <v>118</v>
      </c>
      <c r="Y126" s="127">
        <f>IFERROR(IF(AND(R125="Probabilidad",R126="Probabilidad"),(AA125-(+AA125*U126)),IF(AND(R125="Impacto",R126="Probabilidad"),(AA124-(+AA124*U126)),IF(R126="Impacto",AA125,""))),"")</f>
        <v>8.6399999999999991E-2</v>
      </c>
      <c r="Z126" s="128" t="str">
        <f t="shared" si="33"/>
        <v>Muy Baja</v>
      </c>
      <c r="AA126" s="129">
        <f t="shared" si="34"/>
        <v>8.6399999999999991E-2</v>
      </c>
      <c r="AB126" s="128" t="str">
        <f t="shared" si="35"/>
        <v>Leve</v>
      </c>
      <c r="AC126" s="129">
        <f>IFERROR(IF(AND(R125="Impacto",R126="Impacto"),(AC125-(+AC125*U126)),IF(AND(R125="Probabilidad",R126="Impacto"),(AC124-(+AC124*U126)),IF(R126="Probabilidad",AC125,""))),"")</f>
        <v>0.15000000000000002</v>
      </c>
      <c r="AD126" s="130" t="str">
        <f t="shared" si="36"/>
        <v>Bajo</v>
      </c>
      <c r="AE126" s="131" t="s">
        <v>135</v>
      </c>
      <c r="AF126" s="149" t="s">
        <v>445</v>
      </c>
      <c r="AG126" s="149" t="s">
        <v>434</v>
      </c>
      <c r="AH126" s="150" t="s">
        <v>447</v>
      </c>
      <c r="AI126" s="150" t="s">
        <v>447</v>
      </c>
      <c r="AJ126" s="149" t="s">
        <v>448</v>
      </c>
      <c r="AK126" s="145" t="s">
        <v>40</v>
      </c>
    </row>
    <row r="127" spans="1:37" ht="76.5" x14ac:dyDescent="0.3">
      <c r="A127" s="235">
        <v>34</v>
      </c>
      <c r="B127" s="217"/>
      <c r="C127" s="225" t="s">
        <v>133</v>
      </c>
      <c r="D127" s="225" t="s">
        <v>540</v>
      </c>
      <c r="E127" s="225" t="s">
        <v>515</v>
      </c>
      <c r="F127" s="223" t="s">
        <v>541</v>
      </c>
      <c r="G127" s="225" t="s">
        <v>128</v>
      </c>
      <c r="H127" s="227">
        <v>365</v>
      </c>
      <c r="I127" s="229" t="str">
        <f>IF(H127&lt;=0,"",IF(H127&lt;=2,"Muy Baja",IF(H127&lt;=15,"Baja",IF(H127&lt;=100,"Media",IF(H127&lt;=1000,"Alta","Muy Alta")))))</f>
        <v>Alta</v>
      </c>
      <c r="J127" s="231">
        <f>IF(I127="","",IF(I127="Muy Baja",0.2,IF(I127="Baja",0.4,IF(I127="Media",0.6,IF(I127="Alta",0.8,IF(I127="Muy Alta",1,))))))</f>
        <v>0.8</v>
      </c>
      <c r="K127" s="233" t="s">
        <v>150</v>
      </c>
      <c r="L127" s="231" t="str">
        <f>IF(NOT(ISERROR(MATCH(K127,'Tabla Impacto'!$B$221:$B$223,0))),'Tabla Impacto'!$F$223&amp;"Por favor no seleccionar los criterios de impacto(Afectación Económica o presupuestal y Pérdida Reputacional)",K127)</f>
        <v xml:space="preserve">     Entre 100 y 500 SMLMV </v>
      </c>
      <c r="M127" s="229" t="str">
        <f>IF(OR(L127='Tabla Impacto'!$C$11,L127='Tabla Impacto'!$D$11),"Leve",IF(OR(L127='Tabla Impacto'!$C$12,L127='Tabla Impacto'!$D$12),"Menor",IF(OR(L127='Tabla Impacto'!$C$13,L127='Tabla Impacto'!$D$13),"Moderado",IF(OR(L127='Tabla Impacto'!$C$14,L127='Tabla Impacto'!$D$14),"Mayor",IF(OR(L127='Tabla Impacto'!$C$15,L127='Tabla Impacto'!$D$15),"Catastrófico","")))))</f>
        <v>Mayor</v>
      </c>
      <c r="N127" s="231">
        <f>IF(M127="","",IF(M127="Leve",0.2,IF(M127="Menor",0.4,IF(M127="Moderado",0.6,IF(M127="Mayor",0.8,IF(M127="Catastrófico",1,))))))</f>
        <v>0.8</v>
      </c>
      <c r="O127" s="214" t="str">
        <f>IF(OR(AND(I127="Muy Baja",M127="Leve"),AND(I127="Muy Baja",M127="Menor"),AND(I127="Baja",M127="Leve")),"Bajo",IF(OR(AND(I127="Muy baja",M127="Moderado"),AND(I127="Baja",M127="Menor"),AND(I127="Baja",M127="Moderado"),AND(I127="Media",M127="Leve"),AND(I127="Media",M127="Menor"),AND(I127="Media",M127="Moderado"),AND(I127="Alta",M127="Leve"),AND(I127="Alta",M127="Menor")),"Moderado",IF(OR(AND(I127="Muy Baja",M127="Mayor"),AND(I127="Baja",M127="Mayor"),AND(I127="Media",M127="Mayor"),AND(I127="Alta",M127="Moderado"),AND(I127="Alta",M127="Mayor"),AND(I127="Muy Alta",M127="Leve"),AND(I127="Muy Alta",M127="Menor"),AND(I127="Muy Alta",M127="Moderado"),AND(I127="Muy Alta",M127="Mayor")),"Alto",IF(OR(AND(I127="Muy Baja",M127="Catastrófico"),AND(I127="Baja",M127="Catastrófico"),AND(I127="Media",M127="Catastrófico"),AND(I127="Alta",M127="Catastrófico"),AND(I127="Muy Alta",M127="Catastrófico")),"Extremo",""))))</f>
        <v>Alto</v>
      </c>
      <c r="P127" s="122">
        <v>1</v>
      </c>
      <c r="Q127" s="123" t="s">
        <v>456</v>
      </c>
      <c r="R127" s="124" t="str">
        <f t="shared" si="31"/>
        <v>Impacto</v>
      </c>
      <c r="S127" s="125" t="s">
        <v>16</v>
      </c>
      <c r="T127" s="125" t="s">
        <v>9</v>
      </c>
      <c r="U127" s="126" t="str">
        <f t="shared" si="32"/>
        <v>25%</v>
      </c>
      <c r="V127" s="125" t="s">
        <v>19</v>
      </c>
      <c r="W127" s="125" t="s">
        <v>23</v>
      </c>
      <c r="X127" s="125" t="s">
        <v>118</v>
      </c>
      <c r="Y127" s="127">
        <f>IFERROR(IF(R127="Probabilidad",(J127-(+J127*U127)),IF(R127="Impacto",J127,"")),"")</f>
        <v>0.8</v>
      </c>
      <c r="Z127" s="128" t="str">
        <f t="shared" si="33"/>
        <v>Alta</v>
      </c>
      <c r="AA127" s="129">
        <f t="shared" si="34"/>
        <v>0.8</v>
      </c>
      <c r="AB127" s="128" t="str">
        <f t="shared" si="35"/>
        <v>Moderado</v>
      </c>
      <c r="AC127" s="129">
        <f>IFERROR(IF(R127="Impacto",(N127-(+N127*U127)),IF(R127="Probabilidad",N127,"")),"")</f>
        <v>0.60000000000000009</v>
      </c>
      <c r="AD127" s="130" t="str">
        <f t="shared" si="36"/>
        <v>Alto</v>
      </c>
      <c r="AE127" s="131" t="s">
        <v>135</v>
      </c>
      <c r="AF127" s="132" t="s">
        <v>451</v>
      </c>
      <c r="AG127" s="149" t="s">
        <v>449</v>
      </c>
      <c r="AH127" s="134" t="s">
        <v>398</v>
      </c>
      <c r="AI127" s="134" t="s">
        <v>450</v>
      </c>
      <c r="AJ127" s="132" t="s">
        <v>448</v>
      </c>
      <c r="AK127" s="133" t="s">
        <v>41</v>
      </c>
    </row>
    <row r="128" spans="1:37" ht="76.5" x14ac:dyDescent="0.3">
      <c r="A128" s="236"/>
      <c r="B128" s="217"/>
      <c r="C128" s="226"/>
      <c r="D128" s="226"/>
      <c r="E128" s="226"/>
      <c r="F128" s="224"/>
      <c r="G128" s="226"/>
      <c r="H128" s="228"/>
      <c r="I128" s="230"/>
      <c r="J128" s="232"/>
      <c r="K128" s="234"/>
      <c r="L128" s="232">
        <f>IF(NOT(ISERROR(MATCH(K128,_xlfn.ANCHORARRAY(F231),0))),J233&amp;"Por favor no seleccionar los criterios de impacto",K128)</f>
        <v>0</v>
      </c>
      <c r="M128" s="230"/>
      <c r="N128" s="232"/>
      <c r="O128" s="215"/>
      <c r="P128" s="122">
        <v>2</v>
      </c>
      <c r="Q128" s="123" t="s">
        <v>455</v>
      </c>
      <c r="R128" s="124" t="str">
        <f t="shared" si="31"/>
        <v>Probabilidad</v>
      </c>
      <c r="S128" s="125" t="s">
        <v>14</v>
      </c>
      <c r="T128" s="125" t="s">
        <v>10</v>
      </c>
      <c r="U128" s="126" t="str">
        <f t="shared" si="32"/>
        <v>50%</v>
      </c>
      <c r="V128" s="125" t="s">
        <v>19</v>
      </c>
      <c r="W128" s="125" t="s">
        <v>22</v>
      </c>
      <c r="X128" s="125" t="s">
        <v>118</v>
      </c>
      <c r="Y128" s="127">
        <f>IFERROR(IF(AND(R127="Probabilidad",R128="Probabilidad"),(AA127-(+AA127*U128)),IF(R128="Probabilidad",(J127-(+J127*U128)),IF(R128="Impacto",AA127,""))),"")</f>
        <v>0.4</v>
      </c>
      <c r="Z128" s="128" t="str">
        <f t="shared" si="33"/>
        <v>Baja</v>
      </c>
      <c r="AA128" s="129">
        <f t="shared" si="34"/>
        <v>0.4</v>
      </c>
      <c r="AB128" s="128" t="str">
        <f t="shared" si="35"/>
        <v>Moderado</v>
      </c>
      <c r="AC128" s="129">
        <f>IFERROR(IF(AND(R127="Impacto",R128="Impacto"),(AC127-(+AC127*U128)),IF(R128="Impacto",(N127-(+N127*U128)),IF(R128="Probabilidad",AC127,""))),"")</f>
        <v>0.60000000000000009</v>
      </c>
      <c r="AD128" s="130" t="str">
        <f t="shared" si="36"/>
        <v>Moderado</v>
      </c>
      <c r="AE128" s="131" t="s">
        <v>135</v>
      </c>
      <c r="AF128" s="132" t="s">
        <v>452</v>
      </c>
      <c r="AG128" s="149" t="s">
        <v>453</v>
      </c>
      <c r="AH128" s="134" t="s">
        <v>454</v>
      </c>
      <c r="AI128" s="134">
        <v>2022</v>
      </c>
      <c r="AJ128" s="132" t="s">
        <v>448</v>
      </c>
      <c r="AK128" s="133" t="s">
        <v>40</v>
      </c>
    </row>
    <row r="129" spans="1:37" ht="76.5" x14ac:dyDescent="0.3">
      <c r="A129" s="236"/>
      <c r="B129" s="217"/>
      <c r="C129" s="226"/>
      <c r="D129" s="226"/>
      <c r="E129" s="226"/>
      <c r="F129" s="224"/>
      <c r="G129" s="226"/>
      <c r="H129" s="228"/>
      <c r="I129" s="230"/>
      <c r="J129" s="232"/>
      <c r="K129" s="234"/>
      <c r="L129" s="232">
        <f>IF(NOT(ISERROR(MATCH(K129,_xlfn.ANCHORARRAY(F232),0))),J234&amp;"Por favor no seleccionar los criterios de impacto",K129)</f>
        <v>0</v>
      </c>
      <c r="M129" s="230"/>
      <c r="N129" s="232"/>
      <c r="O129" s="215"/>
      <c r="P129" s="122">
        <v>3</v>
      </c>
      <c r="Q129" s="135" t="s">
        <v>457</v>
      </c>
      <c r="R129" s="124" t="str">
        <f t="shared" si="31"/>
        <v>Probabilidad</v>
      </c>
      <c r="S129" s="125" t="s">
        <v>14</v>
      </c>
      <c r="T129" s="125" t="s">
        <v>10</v>
      </c>
      <c r="U129" s="126" t="str">
        <f t="shared" si="32"/>
        <v>50%</v>
      </c>
      <c r="V129" s="125" t="s">
        <v>19</v>
      </c>
      <c r="W129" s="125" t="s">
        <v>23</v>
      </c>
      <c r="X129" s="125" t="s">
        <v>118</v>
      </c>
      <c r="Y129" s="127">
        <f>IFERROR(IF(AND(R128="Probabilidad",R129="Probabilidad"),(AA128-(+AA128*U129)),IF(AND(R128="Impacto",R129="Probabilidad"),(AA127-(+AA127*U129)),IF(R129="Impacto",AA128,""))),"")</f>
        <v>0.2</v>
      </c>
      <c r="Z129" s="128" t="str">
        <f t="shared" si="33"/>
        <v>Muy Baja</v>
      </c>
      <c r="AA129" s="129">
        <f t="shared" si="34"/>
        <v>0.2</v>
      </c>
      <c r="AB129" s="128" t="str">
        <f t="shared" si="35"/>
        <v>Moderado</v>
      </c>
      <c r="AC129" s="129">
        <f>IFERROR(IF(AND(R128="Impacto",R129="Impacto"),(AC128-(+AC128*U129)),IF(AND(R128="Probabilidad",R129="Impacto"),(AC127-(+AC127*U129)),IF(R129="Probabilidad",AC128,""))),"")</f>
        <v>0.60000000000000009</v>
      </c>
      <c r="AD129" s="130" t="str">
        <f t="shared" si="36"/>
        <v>Moderado</v>
      </c>
      <c r="AE129" s="131" t="s">
        <v>135</v>
      </c>
      <c r="AF129" s="132" t="s">
        <v>458</v>
      </c>
      <c r="AG129" s="149" t="s">
        <v>453</v>
      </c>
      <c r="AH129" s="134" t="s">
        <v>398</v>
      </c>
      <c r="AI129" s="134"/>
      <c r="AJ129" s="132" t="s">
        <v>448</v>
      </c>
      <c r="AK129" s="133" t="s">
        <v>41</v>
      </c>
    </row>
    <row r="130" spans="1:37" ht="132" x14ac:dyDescent="0.3">
      <c r="A130" s="235">
        <v>35</v>
      </c>
      <c r="B130" s="217"/>
      <c r="C130" s="225" t="s">
        <v>133</v>
      </c>
      <c r="D130" s="225" t="s">
        <v>542</v>
      </c>
      <c r="E130" s="225" t="s">
        <v>544</v>
      </c>
      <c r="F130" s="223" t="s">
        <v>543</v>
      </c>
      <c r="G130" s="225" t="s">
        <v>122</v>
      </c>
      <c r="H130" s="227">
        <v>36</v>
      </c>
      <c r="I130" s="229" t="str">
        <f>IF(H130&lt;=0,"",IF(H130&lt;=2,"Muy Baja",IF(H130&lt;=15,"Baja",IF(H130&lt;=100,"Media",IF(H130&lt;=1000,"Alta","Muy Alta")))))</f>
        <v>Media</v>
      </c>
      <c r="J130" s="231">
        <f>IF(I130="","",IF(I130="Muy Baja",0.2,IF(I130="Baja",0.4,IF(I130="Media",0.6,IF(I130="Alta",0.8,IF(I130="Muy Alta",1,))))))</f>
        <v>0.6</v>
      </c>
      <c r="K130" s="233" t="s">
        <v>150</v>
      </c>
      <c r="L130" s="231" t="str">
        <f>IF(NOT(ISERROR(MATCH(K130,'Tabla Impacto'!$B$221:$B$223,0))),'Tabla Impacto'!$F$223&amp;"Por favor no seleccionar los criterios de impacto(Afectación Económica o presupuestal y Pérdida Reputacional)",K130)</f>
        <v xml:space="preserve">     Entre 100 y 500 SMLMV </v>
      </c>
      <c r="M130" s="229" t="str">
        <f>IF(OR(L130='Tabla Impacto'!$C$11,L130='Tabla Impacto'!$D$11),"Leve",IF(OR(L130='Tabla Impacto'!$C$12,L130='Tabla Impacto'!$D$12),"Menor",IF(OR(L130='Tabla Impacto'!$C$13,L130='Tabla Impacto'!$D$13),"Moderado",IF(OR(L130='Tabla Impacto'!$C$14,L130='Tabla Impacto'!$D$14),"Mayor",IF(OR(L130='Tabla Impacto'!$C$15,L130='Tabla Impacto'!$D$15),"Catastrófico","")))))</f>
        <v>Mayor</v>
      </c>
      <c r="N130" s="231">
        <f>IF(M130="","",IF(M130="Leve",0.2,IF(M130="Menor",0.4,IF(M130="Moderado",0.6,IF(M130="Mayor",0.8,IF(M130="Catastrófico",1,))))))</f>
        <v>0.8</v>
      </c>
      <c r="O130" s="214" t="str">
        <f>IF(OR(AND(I130="Muy Baja",M130="Leve"),AND(I130="Muy Baja",M130="Menor"),AND(I130="Baja",M130="Leve")),"Bajo",IF(OR(AND(I130="Muy baja",M130="Moderado"),AND(I130="Baja",M130="Menor"),AND(I130="Baja",M130="Moderado"),AND(I130="Media",M130="Leve"),AND(I130="Media",M130="Menor"),AND(I130="Media",M130="Moderado"),AND(I130="Alta",M130="Leve"),AND(I130="Alta",M130="Menor")),"Moderado",IF(OR(AND(I130="Muy Baja",M130="Mayor"),AND(I130="Baja",M130="Mayor"),AND(I130="Media",M130="Mayor"),AND(I130="Alta",M130="Moderado"),AND(I130="Alta",M130="Mayor"),AND(I130="Muy Alta",M130="Leve"),AND(I130="Muy Alta",M130="Menor"),AND(I130="Muy Alta",M130="Moderado"),AND(I130="Muy Alta",M130="Mayor")),"Alto",IF(OR(AND(I130="Muy Baja",M130="Catastrófico"),AND(I130="Baja",M130="Catastrófico"),AND(I130="Media",M130="Catastrófico"),AND(I130="Alta",M130="Catastrófico"),AND(I130="Muy Alta",M130="Catastrófico")),"Extremo",""))))</f>
        <v>Alto</v>
      </c>
      <c r="P130" s="122">
        <v>1</v>
      </c>
      <c r="Q130" s="172" t="s">
        <v>532</v>
      </c>
      <c r="R130" s="124" t="str">
        <f t="shared" si="31"/>
        <v>Probabilidad</v>
      </c>
      <c r="S130" s="125" t="s">
        <v>14</v>
      </c>
      <c r="T130" s="125" t="s">
        <v>10</v>
      </c>
      <c r="U130" s="126" t="str">
        <f t="shared" si="32"/>
        <v>50%</v>
      </c>
      <c r="V130" s="125" t="s">
        <v>19</v>
      </c>
      <c r="W130" s="125" t="s">
        <v>22</v>
      </c>
      <c r="X130" s="125" t="s">
        <v>118</v>
      </c>
      <c r="Y130" s="127">
        <f>IFERROR(IF(R130="Probabilidad",(J130-(+J130*U130)),IF(R130="Impacto",J130,"")),"")</f>
        <v>0.3</v>
      </c>
      <c r="Z130" s="128" t="str">
        <f t="shared" si="33"/>
        <v>Baja</v>
      </c>
      <c r="AA130" s="129">
        <f t="shared" si="34"/>
        <v>0.3</v>
      </c>
      <c r="AB130" s="128" t="str">
        <f t="shared" si="35"/>
        <v>Mayor</v>
      </c>
      <c r="AC130" s="129">
        <f>IFERROR(IF(R130="Impacto",(N130-(+N130*U130)),IF(R130="Probabilidad",N130,"")),"")</f>
        <v>0.8</v>
      </c>
      <c r="AD130" s="130" t="str">
        <f t="shared" si="36"/>
        <v>Alto</v>
      </c>
      <c r="AE130" s="131" t="s">
        <v>135</v>
      </c>
      <c r="AF130" s="132" t="s">
        <v>464</v>
      </c>
      <c r="AG130" s="149" t="s">
        <v>465</v>
      </c>
      <c r="AH130" s="134" t="s">
        <v>398</v>
      </c>
      <c r="AI130" s="134" t="s">
        <v>471</v>
      </c>
      <c r="AJ130" s="132" t="s">
        <v>470</v>
      </c>
      <c r="AK130" s="133" t="s">
        <v>40</v>
      </c>
    </row>
    <row r="131" spans="1:37" ht="72.75" customHeight="1" x14ac:dyDescent="0.3">
      <c r="A131" s="236"/>
      <c r="B131" s="217"/>
      <c r="C131" s="226"/>
      <c r="D131" s="226"/>
      <c r="E131" s="226"/>
      <c r="F131" s="224"/>
      <c r="G131" s="226"/>
      <c r="H131" s="228"/>
      <c r="I131" s="230"/>
      <c r="J131" s="232"/>
      <c r="K131" s="234"/>
      <c r="L131" s="232">
        <f>IF(NOT(ISERROR(MATCH(K131,_xlfn.ANCHORARRAY(F237),0))),J239&amp;"Por favor no seleccionar los criterios de impacto",K131)</f>
        <v>0</v>
      </c>
      <c r="M131" s="230"/>
      <c r="N131" s="232"/>
      <c r="O131" s="215"/>
      <c r="P131" s="122">
        <v>2</v>
      </c>
      <c r="Q131" s="172" t="s">
        <v>530</v>
      </c>
      <c r="R131" s="124" t="str">
        <f t="shared" si="31"/>
        <v>Probabilidad</v>
      </c>
      <c r="S131" s="125" t="s">
        <v>14</v>
      </c>
      <c r="T131" s="125" t="s">
        <v>10</v>
      </c>
      <c r="U131" s="126" t="str">
        <f t="shared" si="32"/>
        <v>50%</v>
      </c>
      <c r="V131" s="125" t="s">
        <v>19</v>
      </c>
      <c r="W131" s="125" t="s">
        <v>22</v>
      </c>
      <c r="X131" s="125" t="s">
        <v>118</v>
      </c>
      <c r="Y131" s="127">
        <f>IFERROR(IF(AND(R130="Probabilidad",R131="Probabilidad"),(AA130-(+AA130*U131)),IF(R131="Probabilidad",(J130-(+J130*U131)),IF(R131="Impacto",AA130,""))),"")</f>
        <v>0.15</v>
      </c>
      <c r="Z131" s="128" t="str">
        <f t="shared" si="33"/>
        <v>Muy Baja</v>
      </c>
      <c r="AA131" s="129">
        <f t="shared" si="34"/>
        <v>0.15</v>
      </c>
      <c r="AB131" s="128" t="str">
        <f t="shared" si="35"/>
        <v>Mayor</v>
      </c>
      <c r="AC131" s="129">
        <f>IFERROR(IF(AND(R130="Impacto",R131="Impacto"),(AC130-(+AC130*U131)),IF(R131="Impacto",(N130-(+N130*U131)),IF(R131="Probabilidad",AC130,""))),"")</f>
        <v>0.8</v>
      </c>
      <c r="AD131" s="130" t="str">
        <f t="shared" si="36"/>
        <v>Alto</v>
      </c>
      <c r="AE131" s="131" t="s">
        <v>135</v>
      </c>
      <c r="AF131" s="132" t="s">
        <v>466</v>
      </c>
      <c r="AG131" s="149" t="s">
        <v>465</v>
      </c>
      <c r="AH131" s="134" t="s">
        <v>398</v>
      </c>
      <c r="AI131" s="151" t="s">
        <v>472</v>
      </c>
      <c r="AJ131" s="132" t="s">
        <v>357</v>
      </c>
      <c r="AK131" s="133" t="s">
        <v>40</v>
      </c>
    </row>
    <row r="132" spans="1:37" ht="86.25" customHeight="1" x14ac:dyDescent="0.3">
      <c r="A132" s="236"/>
      <c r="B132" s="217"/>
      <c r="C132" s="226"/>
      <c r="D132" s="226"/>
      <c r="E132" s="226"/>
      <c r="F132" s="224"/>
      <c r="G132" s="226"/>
      <c r="H132" s="228"/>
      <c r="I132" s="230"/>
      <c r="J132" s="232"/>
      <c r="K132" s="234"/>
      <c r="L132" s="232">
        <f>IF(NOT(ISERROR(MATCH(K132,_xlfn.ANCHORARRAY(F238),0))),J240&amp;"Por favor no seleccionar los criterios de impacto",K132)</f>
        <v>0</v>
      </c>
      <c r="M132" s="230"/>
      <c r="N132" s="232"/>
      <c r="O132" s="215"/>
      <c r="P132" s="122">
        <v>3</v>
      </c>
      <c r="Q132" s="172" t="s">
        <v>531</v>
      </c>
      <c r="R132" s="124" t="str">
        <f t="shared" si="31"/>
        <v>Probabilidad</v>
      </c>
      <c r="S132" s="125" t="s">
        <v>14</v>
      </c>
      <c r="T132" s="125" t="s">
        <v>10</v>
      </c>
      <c r="U132" s="126" t="str">
        <f t="shared" si="32"/>
        <v>50%</v>
      </c>
      <c r="V132" s="125" t="s">
        <v>19</v>
      </c>
      <c r="W132" s="125" t="s">
        <v>22</v>
      </c>
      <c r="X132" s="125" t="s">
        <v>118</v>
      </c>
      <c r="Y132" s="127">
        <f>IFERROR(IF(AND(R131="Probabilidad",R132="Probabilidad"),(AA131-(+AA131*U132)),IF(AND(R131="Impacto",R132="Probabilidad"),(AA130-(+AA130*U132)),IF(R132="Impacto",AA131,""))),"")</f>
        <v>7.4999999999999997E-2</v>
      </c>
      <c r="Z132" s="128" t="str">
        <f t="shared" si="33"/>
        <v>Muy Baja</v>
      </c>
      <c r="AA132" s="129">
        <f t="shared" si="34"/>
        <v>7.4999999999999997E-2</v>
      </c>
      <c r="AB132" s="128" t="str">
        <f t="shared" si="35"/>
        <v>Mayor</v>
      </c>
      <c r="AC132" s="129">
        <f>IFERROR(IF(AND(R131="Impacto",R132="Impacto"),(AC131-(+AC131*U132)),IF(AND(R131="Probabilidad",R132="Impacto"),(AC130-(+AC130*U132)),IF(R132="Probabilidad",AC131,""))),"")</f>
        <v>0.8</v>
      </c>
      <c r="AD132" s="130" t="str">
        <f t="shared" si="36"/>
        <v>Alto</v>
      </c>
      <c r="AE132" s="131" t="s">
        <v>135</v>
      </c>
      <c r="AF132" s="132" t="s">
        <v>467</v>
      </c>
      <c r="AG132" s="149" t="s">
        <v>465</v>
      </c>
      <c r="AH132" s="134" t="s">
        <v>398</v>
      </c>
      <c r="AI132" s="134" t="s">
        <v>471</v>
      </c>
      <c r="AJ132" s="132" t="s">
        <v>470</v>
      </c>
      <c r="AK132" s="133" t="s">
        <v>40</v>
      </c>
    </row>
    <row r="133" spans="1:37" ht="76.5" x14ac:dyDescent="0.3">
      <c r="A133" s="236"/>
      <c r="B133" s="217"/>
      <c r="C133" s="226"/>
      <c r="D133" s="226"/>
      <c r="E133" s="226"/>
      <c r="F133" s="224"/>
      <c r="G133" s="226"/>
      <c r="H133" s="228"/>
      <c r="I133" s="230"/>
      <c r="J133" s="232"/>
      <c r="K133" s="234"/>
      <c r="L133" s="232">
        <f>IF(NOT(ISERROR(MATCH(K133,_xlfn.ANCHORARRAY(F239),0))),J241&amp;"Por favor no seleccionar los criterios de impacto",K133)</f>
        <v>0</v>
      </c>
      <c r="M133" s="230"/>
      <c r="N133" s="232"/>
      <c r="O133" s="215"/>
      <c r="P133" s="122">
        <v>4</v>
      </c>
      <c r="Q133" s="123"/>
      <c r="R133" s="124" t="str">
        <f t="shared" si="31"/>
        <v>Probabilidad</v>
      </c>
      <c r="S133" s="125" t="s">
        <v>14</v>
      </c>
      <c r="T133" s="125" t="s">
        <v>10</v>
      </c>
      <c r="U133" s="126" t="str">
        <f t="shared" si="32"/>
        <v>50%</v>
      </c>
      <c r="V133" s="125" t="s">
        <v>19</v>
      </c>
      <c r="W133" s="125" t="s">
        <v>22</v>
      </c>
      <c r="X133" s="125" t="s">
        <v>118</v>
      </c>
      <c r="Y133" s="127">
        <f>IFERROR(IF(AND(R132="Probabilidad",R133="Probabilidad"),(AA132-(+AA132*U133)),IF(AND(R132="Impacto",R133="Probabilidad"),(AA131-(+AA131*U133)),IF(R133="Impacto",AA132,""))),"")</f>
        <v>3.7499999999999999E-2</v>
      </c>
      <c r="Z133" s="128" t="str">
        <f t="shared" si="33"/>
        <v>Muy Baja</v>
      </c>
      <c r="AA133" s="129">
        <f t="shared" si="34"/>
        <v>3.7499999999999999E-2</v>
      </c>
      <c r="AB133" s="128" t="str">
        <f t="shared" si="35"/>
        <v>Mayor</v>
      </c>
      <c r="AC133" s="129">
        <f>IFERROR(IF(AND(R132="Impacto",R133="Impacto"),(AC132-(+AC132*U133)),IF(AND(R132="Probabilidad",R133="Impacto"),(AC131-(+AC131*U133)),IF(R133="Probabilidad",AC132,""))),"")</f>
        <v>0.8</v>
      </c>
      <c r="AD133" s="130" t="str">
        <f t="shared" si="36"/>
        <v>Alto</v>
      </c>
      <c r="AE133" s="131" t="s">
        <v>135</v>
      </c>
      <c r="AF133" s="132" t="s">
        <v>468</v>
      </c>
      <c r="AG133" s="149" t="s">
        <v>465</v>
      </c>
      <c r="AH133" s="134" t="s">
        <v>398</v>
      </c>
      <c r="AI133" s="134" t="s">
        <v>471</v>
      </c>
      <c r="AJ133" s="132" t="s">
        <v>470</v>
      </c>
      <c r="AK133" s="133" t="s">
        <v>40</v>
      </c>
    </row>
    <row r="134" spans="1:37" ht="76.5" x14ac:dyDescent="0.3">
      <c r="A134" s="236"/>
      <c r="B134" s="217"/>
      <c r="C134" s="226"/>
      <c r="D134" s="226"/>
      <c r="E134" s="226"/>
      <c r="F134" s="224"/>
      <c r="G134" s="226"/>
      <c r="H134" s="228"/>
      <c r="I134" s="230"/>
      <c r="J134" s="232"/>
      <c r="K134" s="234"/>
      <c r="L134" s="232">
        <f>IF(NOT(ISERROR(MATCH(K134,_xlfn.ANCHORARRAY(F240),0))),J242&amp;"Por favor no seleccionar los criterios de impacto",K134)</f>
        <v>0</v>
      </c>
      <c r="M134" s="230"/>
      <c r="N134" s="232"/>
      <c r="O134" s="215"/>
      <c r="P134" s="122">
        <v>5</v>
      </c>
      <c r="Q134" s="123"/>
      <c r="R134" s="124" t="str">
        <f t="shared" si="31"/>
        <v>Probabilidad</v>
      </c>
      <c r="S134" s="125" t="s">
        <v>14</v>
      </c>
      <c r="T134" s="125" t="s">
        <v>10</v>
      </c>
      <c r="U134" s="126" t="str">
        <f t="shared" si="32"/>
        <v>50%</v>
      </c>
      <c r="V134" s="125" t="s">
        <v>19</v>
      </c>
      <c r="W134" s="125" t="s">
        <v>22</v>
      </c>
      <c r="X134" s="125" t="s">
        <v>118</v>
      </c>
      <c r="Y134" s="127">
        <f>IFERROR(IF(AND(R133="Probabilidad",R134="Probabilidad"),(AA133-(+AA133*U134)),IF(AND(R133="Impacto",R134="Probabilidad"),(AA132-(+AA132*U134)),IF(R134="Impacto",AA133,""))),"")</f>
        <v>1.8749999999999999E-2</v>
      </c>
      <c r="Z134" s="128" t="str">
        <f t="shared" si="33"/>
        <v>Muy Baja</v>
      </c>
      <c r="AA134" s="129">
        <f t="shared" si="34"/>
        <v>1.8749999999999999E-2</v>
      </c>
      <c r="AB134" s="128" t="str">
        <f t="shared" si="35"/>
        <v>Mayor</v>
      </c>
      <c r="AC134" s="129">
        <f>IFERROR(IF(AND(R133="Impacto",R134="Impacto"),(AC133-(+AC133*U134)),IF(AND(R133="Probabilidad",R134="Impacto"),(AC132-(+AC132*U134)),IF(R134="Probabilidad",AC133,""))),"")</f>
        <v>0.8</v>
      </c>
      <c r="AD134" s="130" t="str">
        <f t="shared" si="36"/>
        <v>Alto</v>
      </c>
      <c r="AE134" s="131" t="s">
        <v>135</v>
      </c>
      <c r="AF134" s="132" t="s">
        <v>469</v>
      </c>
      <c r="AG134" s="149" t="s">
        <v>465</v>
      </c>
      <c r="AH134" s="134" t="s">
        <v>398</v>
      </c>
      <c r="AI134" s="151" t="s">
        <v>472</v>
      </c>
      <c r="AJ134" s="132" t="s">
        <v>357</v>
      </c>
      <c r="AK134" s="133" t="s">
        <v>40</v>
      </c>
    </row>
    <row r="135" spans="1:37" ht="76.5" x14ac:dyDescent="0.3">
      <c r="A135" s="218">
        <v>36</v>
      </c>
      <c r="B135" s="217"/>
      <c r="C135" s="225" t="s">
        <v>131</v>
      </c>
      <c r="D135" s="225" t="s">
        <v>517</v>
      </c>
      <c r="E135" s="225" t="s">
        <v>516</v>
      </c>
      <c r="F135" s="223" t="s">
        <v>545</v>
      </c>
      <c r="G135" s="225" t="s">
        <v>122</v>
      </c>
      <c r="H135" s="227">
        <v>1000</v>
      </c>
      <c r="I135" s="229" t="str">
        <f>IF(H135&lt;=0,"",IF(H135&lt;=2,"Muy Baja",IF(H135&lt;=15,"Baja",IF(H135&lt;=100,"Media",IF(H135&lt;=1000,"Alta","Muy Alta")))))</f>
        <v>Alta</v>
      </c>
      <c r="J135" s="231">
        <f>IF(I135="","",IF(I135="Muy Baja",0.2,IF(I135="Baja",0.4,IF(I135="Media",0.6,IF(I135="Alta",0.8,IF(I135="Muy Alta",1,))))))</f>
        <v>0.8</v>
      </c>
      <c r="K135" s="233" t="s">
        <v>154</v>
      </c>
      <c r="L135" s="231" t="str">
        <f>IF(NOT(ISERROR(MATCH(K135,'Tabla Impacto'!$B$221:$B$223,0))),'Tabla Impacto'!$F$223&amp;"Por favor no seleccionar los criterios de impacto(Afectación Económica o presupuestal y Pérdida Reputacional)",K135)</f>
        <v xml:space="preserve">     El riesgo afecta la imagen de la entidad con algunos usuarios de relevancia frente al logro de los objetivos</v>
      </c>
      <c r="M135" s="229" t="str">
        <f>IF(OR(L135='Tabla Impacto'!$C$11,L135='Tabla Impacto'!$D$11),"Leve",IF(OR(L135='Tabla Impacto'!$C$12,L135='Tabla Impacto'!$D$12),"Menor",IF(OR(L135='Tabla Impacto'!$C$13,L135='Tabla Impacto'!$D$13),"Moderado",IF(OR(L135='Tabla Impacto'!$C$14,L135='Tabla Impacto'!$D$14),"Mayor",IF(OR(L135='Tabla Impacto'!$C$15,L135='Tabla Impacto'!$D$15),"Catastrófico","")))))</f>
        <v>Moderado</v>
      </c>
      <c r="N135" s="231">
        <f>IF(M135="","",IF(M135="Leve",0.2,IF(M135="Menor",0.4,IF(M135="Moderado",0.6,IF(M135="Mayor",0.8,IF(M135="Catastrófico",1,))))))</f>
        <v>0.6</v>
      </c>
      <c r="O135" s="214" t="str">
        <f>IF(OR(AND(I135="Muy Baja",M135="Leve"),AND(I135="Muy Baja",M135="Menor"),AND(I135="Baja",M135="Leve")),"Bajo",IF(OR(AND(I135="Muy baja",M135="Moderado"),AND(I135="Baja",M135="Menor"),AND(I135="Baja",M135="Moderado"),AND(I135="Media",M135="Leve"),AND(I135="Media",M135="Menor"),AND(I135="Media",M135="Moderado"),AND(I135="Alta",M135="Leve"),AND(I135="Alta",M135="Menor")),"Moderado",IF(OR(AND(I135="Muy Baja",M135="Mayor"),AND(I135="Baja",M135="Mayor"),AND(I135="Media",M135="Mayor"),AND(I135="Alta",M135="Moderado"),AND(I135="Alta",M135="Mayor"),AND(I135="Muy Alta",M135="Leve"),AND(I135="Muy Alta",M135="Menor"),AND(I135="Muy Alta",M135="Moderado"),AND(I135="Muy Alta",M135="Mayor")),"Alto",IF(OR(AND(I135="Muy Baja",M135="Catastrófico"),AND(I135="Baja",M135="Catastrófico"),AND(I135="Media",M135="Catastrófico"),AND(I135="Alta",M135="Catastrófico"),AND(I135="Muy Alta",M135="Catastrófico")),"Extremo",""))))</f>
        <v>Alto</v>
      </c>
      <c r="P135" s="122">
        <v>1</v>
      </c>
      <c r="Q135" s="172" t="s">
        <v>518</v>
      </c>
      <c r="R135" s="124" t="str">
        <f t="shared" ref="R135:R136" si="37">IF(OR(S135="Preventivo",S135="Detectivo"),"Probabilidad",IF(S135="Correctivo","Impacto",""))</f>
        <v>Probabilidad</v>
      </c>
      <c r="S135" s="125" t="s">
        <v>14</v>
      </c>
      <c r="T135" s="125" t="s">
        <v>10</v>
      </c>
      <c r="U135" s="126" t="str">
        <f t="shared" ref="U135:U136" si="38">IF(AND(S135="Preventivo",T135="Automático"),"50%",IF(AND(S135="Preventivo",T135="Manual"),"40%",IF(AND(S135="Detectivo",T135="Automático"),"40%",IF(AND(S135="Detectivo",T135="Manual"),"30%",IF(AND(S135="Correctivo",T135="Automático"),"35%",IF(AND(S135="Correctivo",T135="Manual"),"25%",""))))))</f>
        <v>50%</v>
      </c>
      <c r="V135" s="125" t="s">
        <v>19</v>
      </c>
      <c r="W135" s="125" t="s">
        <v>22</v>
      </c>
      <c r="X135" s="125" t="s">
        <v>118</v>
      </c>
      <c r="Y135" s="127">
        <f>IFERROR(IF(R135="Probabilidad",(J135-(+J135*U135)),IF(R135="Impacto",J135,"")),"")</f>
        <v>0.4</v>
      </c>
      <c r="Z135" s="128" t="str">
        <f t="shared" si="33"/>
        <v>Baja</v>
      </c>
      <c r="AA135" s="129">
        <f t="shared" ref="AA135:AA136" si="39">+Y135</f>
        <v>0.4</v>
      </c>
      <c r="AB135" s="128" t="str">
        <f t="shared" si="35"/>
        <v>Moderado</v>
      </c>
      <c r="AC135" s="129">
        <f>IFERROR(IF(R135="Impacto",(N135-(+N135*U135)),IF(R135="Probabilidad",N135,"")),"")</f>
        <v>0.6</v>
      </c>
      <c r="AD135" s="130" t="str">
        <f t="shared" ref="AD135:AD136" si="40">IFERROR(IF(OR(AND(Z135="Muy Baja",AB135="Leve"),AND(Z135="Muy Baja",AB135="Menor"),AND(Z135="Baja",AB135="Leve")),"Bajo",IF(OR(AND(Z135="Muy baja",AB135="Moderado"),AND(Z135="Baja",AB135="Menor"),AND(Z135="Baja",AB135="Moderado"),AND(Z135="Media",AB135="Leve"),AND(Z135="Media",AB135="Menor"),AND(Z135="Media",AB135="Moderado"),AND(Z135="Alta",AB135="Leve"),AND(Z135="Alta",AB135="Menor")),"Moderado",IF(OR(AND(Z135="Muy Baja",AB135="Mayor"),AND(Z135="Baja",AB135="Mayor"),AND(Z135="Media",AB135="Mayor"),AND(Z135="Alta",AB135="Moderado"),AND(Z135="Alta",AB135="Mayor"),AND(Z135="Muy Alta",AB135="Leve"),AND(Z135="Muy Alta",AB135="Menor"),AND(Z135="Muy Alta",AB135="Moderado"),AND(Z135="Muy Alta",AB135="Mayor")),"Alto",IF(OR(AND(Z135="Muy Baja",AB135="Catastrófico"),AND(Z135="Baja",AB135="Catastrófico"),AND(Z135="Media",AB135="Catastrófico"),AND(Z135="Alta",AB135="Catastrófico"),AND(Z135="Muy Alta",AB135="Catastrófico")),"Extremo","")))),"")</f>
        <v>Moderado</v>
      </c>
      <c r="AE135" s="131" t="s">
        <v>135</v>
      </c>
      <c r="AF135" s="132" t="s">
        <v>464</v>
      </c>
      <c r="AG135" s="149" t="s">
        <v>465</v>
      </c>
      <c r="AH135" s="134" t="s">
        <v>398</v>
      </c>
      <c r="AI135" s="134" t="s">
        <v>471</v>
      </c>
      <c r="AJ135" s="132" t="s">
        <v>470</v>
      </c>
      <c r="AK135" s="133" t="s">
        <v>40</v>
      </c>
    </row>
    <row r="136" spans="1:37" ht="76.5" x14ac:dyDescent="0.3">
      <c r="A136" s="219"/>
      <c r="B136" s="217"/>
      <c r="C136" s="226"/>
      <c r="D136" s="226"/>
      <c r="E136" s="226"/>
      <c r="F136" s="224"/>
      <c r="G136" s="226"/>
      <c r="H136" s="228"/>
      <c r="I136" s="230"/>
      <c r="J136" s="232"/>
      <c r="K136" s="234"/>
      <c r="L136" s="232">
        <f>IF(NOT(ISERROR(MATCH(K136,_xlfn.ANCHORARRAY(F242),0))),J244&amp;"Por favor no seleccionar los criterios de impacto",K136)</f>
        <v>0</v>
      </c>
      <c r="M136" s="230"/>
      <c r="N136" s="232"/>
      <c r="O136" s="215"/>
      <c r="P136" s="122">
        <v>2</v>
      </c>
      <c r="Q136" s="174" t="s">
        <v>519</v>
      </c>
      <c r="R136" s="124" t="str">
        <f t="shared" si="37"/>
        <v>Probabilidad</v>
      </c>
      <c r="S136" s="125" t="s">
        <v>14</v>
      </c>
      <c r="T136" s="125" t="s">
        <v>10</v>
      </c>
      <c r="U136" s="126" t="str">
        <f t="shared" si="38"/>
        <v>50%</v>
      </c>
      <c r="V136" s="125" t="s">
        <v>19</v>
      </c>
      <c r="W136" s="125" t="s">
        <v>22</v>
      </c>
      <c r="X136" s="125" t="s">
        <v>118</v>
      </c>
      <c r="Y136" s="127">
        <f>IFERROR(IF(AND(R135="Probabilidad",R136="Probabilidad"),(AA135-(+AA135*U136)),IF(R136="Probabilidad",(J135-(+J135*U136)),IF(R136="Impacto",AA135,""))),"")</f>
        <v>0.2</v>
      </c>
      <c r="Z136" s="128" t="str">
        <f t="shared" si="33"/>
        <v>Muy Baja</v>
      </c>
      <c r="AA136" s="129">
        <f t="shared" si="39"/>
        <v>0.2</v>
      </c>
      <c r="AB136" s="128" t="str">
        <f t="shared" si="35"/>
        <v>Moderado</v>
      </c>
      <c r="AC136" s="129">
        <f>IFERROR(IF(AND(R135="Impacto",R136="Impacto"),(AC135-(+AC135*U136)),IF(R136="Impacto",(N135-(+N135*U136)),IF(R136="Probabilidad",AC135,""))),"")</f>
        <v>0.6</v>
      </c>
      <c r="AD136" s="130" t="str">
        <f t="shared" si="40"/>
        <v>Moderado</v>
      </c>
      <c r="AE136" s="131" t="s">
        <v>135</v>
      </c>
      <c r="AF136" s="132" t="s">
        <v>466</v>
      </c>
      <c r="AG136" s="149" t="s">
        <v>465</v>
      </c>
      <c r="AH136" s="134" t="s">
        <v>398</v>
      </c>
      <c r="AI136" s="151" t="s">
        <v>472</v>
      </c>
      <c r="AJ136" s="132" t="s">
        <v>357</v>
      </c>
      <c r="AK136" s="133" t="s">
        <v>40</v>
      </c>
    </row>
    <row r="137" spans="1:37" x14ac:dyDescent="0.3">
      <c r="A137" s="219"/>
      <c r="B137" s="217"/>
      <c r="C137" s="226"/>
      <c r="D137" s="226"/>
      <c r="E137" s="226"/>
      <c r="F137" s="224"/>
      <c r="G137" s="226"/>
      <c r="H137" s="228"/>
      <c r="I137" s="230"/>
      <c r="J137" s="232"/>
      <c r="K137" s="234"/>
      <c r="L137" s="232">
        <f>IF(NOT(ISERROR(MATCH(K137,_xlfn.ANCHORARRAY(F243),0))),J245&amp;"Por favor no seleccionar los criterios de impacto",K137)</f>
        <v>0</v>
      </c>
      <c r="M137" s="230"/>
      <c r="N137" s="232"/>
      <c r="O137" s="215"/>
      <c r="P137" s="122">
        <v>3</v>
      </c>
      <c r="Q137" s="172"/>
      <c r="R137" s="124"/>
      <c r="S137" s="125"/>
      <c r="T137" s="125"/>
      <c r="U137" s="126"/>
      <c r="V137" s="125"/>
      <c r="W137" s="125"/>
      <c r="X137" s="125"/>
      <c r="Y137" s="127"/>
      <c r="Z137" s="128"/>
      <c r="AA137" s="129"/>
      <c r="AB137" s="128"/>
      <c r="AC137" s="129"/>
      <c r="AD137" s="130"/>
      <c r="AE137" s="131"/>
      <c r="AF137" s="132"/>
      <c r="AG137" s="149"/>
      <c r="AH137" s="134"/>
      <c r="AI137" s="134"/>
      <c r="AJ137" s="132"/>
      <c r="AK137" s="133"/>
    </row>
    <row r="138" spans="1:37" x14ac:dyDescent="0.3">
      <c r="A138" s="219"/>
      <c r="B138" s="217"/>
      <c r="C138" s="226"/>
      <c r="D138" s="226"/>
      <c r="E138" s="226"/>
      <c r="F138" s="224"/>
      <c r="G138" s="226"/>
      <c r="H138" s="228"/>
      <c r="I138" s="230"/>
      <c r="J138" s="232"/>
      <c r="K138" s="234"/>
      <c r="L138" s="232">
        <f>IF(NOT(ISERROR(MATCH(K138,_xlfn.ANCHORARRAY(F244),0))),J246&amp;"Por favor no seleccionar los criterios de impacto",K138)</f>
        <v>0</v>
      </c>
      <c r="M138" s="230"/>
      <c r="N138" s="232"/>
      <c r="O138" s="215"/>
      <c r="P138" s="122">
        <v>4</v>
      </c>
      <c r="Q138" s="123"/>
      <c r="R138" s="124"/>
      <c r="S138" s="125"/>
      <c r="T138" s="125"/>
      <c r="U138" s="126"/>
      <c r="V138" s="125"/>
      <c r="W138" s="125"/>
      <c r="X138" s="125"/>
      <c r="Y138" s="127"/>
      <c r="Z138" s="128"/>
      <c r="AA138" s="129"/>
      <c r="AB138" s="128"/>
      <c r="AC138" s="129"/>
      <c r="AD138" s="130"/>
      <c r="AE138" s="131"/>
      <c r="AF138" s="132"/>
      <c r="AG138" s="149"/>
      <c r="AH138" s="134"/>
      <c r="AI138" s="134"/>
      <c r="AJ138" s="132"/>
      <c r="AK138" s="133"/>
    </row>
    <row r="139" spans="1:37" x14ac:dyDescent="0.3">
      <c r="A139" s="219"/>
      <c r="B139" s="217"/>
      <c r="C139" s="226"/>
      <c r="D139" s="226"/>
      <c r="E139" s="226"/>
      <c r="F139" s="224"/>
      <c r="G139" s="226"/>
      <c r="H139" s="228"/>
      <c r="I139" s="230"/>
      <c r="J139" s="232"/>
      <c r="K139" s="234"/>
      <c r="L139" s="232">
        <f>IF(NOT(ISERROR(MATCH(K139,_xlfn.ANCHORARRAY(F245),0))),J247&amp;"Por favor no seleccionar los criterios de impacto",K139)</f>
        <v>0</v>
      </c>
      <c r="M139" s="230"/>
      <c r="N139" s="232"/>
      <c r="O139" s="215"/>
      <c r="P139" s="122">
        <v>5</v>
      </c>
      <c r="Q139" s="123"/>
      <c r="R139" s="124"/>
      <c r="S139" s="125"/>
      <c r="T139" s="125"/>
      <c r="U139" s="126"/>
      <c r="V139" s="125"/>
      <c r="W139" s="125"/>
      <c r="X139" s="125"/>
      <c r="Y139" s="127"/>
      <c r="Z139" s="128"/>
      <c r="AA139" s="129"/>
      <c r="AB139" s="128"/>
      <c r="AC139" s="129"/>
      <c r="AD139" s="130"/>
      <c r="AE139" s="131"/>
      <c r="AF139" s="132"/>
      <c r="AG139" s="149"/>
      <c r="AH139" s="134"/>
      <c r="AI139" s="151"/>
      <c r="AJ139" s="132"/>
      <c r="AK139" s="133"/>
    </row>
    <row r="140" spans="1:37" x14ac:dyDescent="0.3">
      <c r="A140" s="219"/>
      <c r="B140" s="217"/>
      <c r="C140" s="276" t="s">
        <v>130</v>
      </c>
      <c r="D140" s="277"/>
      <c r="E140" s="277"/>
      <c r="F140" s="277"/>
      <c r="G140" s="277"/>
      <c r="H140" s="277"/>
      <c r="I140" s="277"/>
      <c r="J140" s="277"/>
      <c r="K140" s="277"/>
      <c r="L140" s="277"/>
      <c r="M140" s="277"/>
      <c r="N140" s="277"/>
      <c r="O140" s="277"/>
      <c r="P140" s="277"/>
      <c r="Q140" s="277"/>
      <c r="R140" s="277"/>
      <c r="S140" s="277"/>
      <c r="T140" s="277"/>
      <c r="U140" s="277"/>
      <c r="V140" s="277"/>
      <c r="W140" s="277"/>
      <c r="X140" s="277"/>
      <c r="Y140" s="277"/>
      <c r="Z140" s="277"/>
      <c r="AA140" s="277"/>
      <c r="AB140" s="277"/>
      <c r="AC140" s="277"/>
      <c r="AD140" s="277"/>
      <c r="AE140" s="277"/>
      <c r="AF140" s="277"/>
      <c r="AG140" s="277"/>
      <c r="AH140" s="277"/>
      <c r="AI140" s="277"/>
      <c r="AJ140" s="277"/>
      <c r="AK140" s="278"/>
    </row>
    <row r="142" spans="1:37" x14ac:dyDescent="0.3">
      <c r="C142" s="23" t="s">
        <v>142</v>
      </c>
      <c r="D142" s="1"/>
      <c r="E142" s="1"/>
      <c r="G142" s="1"/>
    </row>
  </sheetData>
  <dataConsolidate/>
  <mergeCells count="462">
    <mergeCell ref="K130:K134"/>
    <mergeCell ref="L130:L134"/>
    <mergeCell ref="M130:M134"/>
    <mergeCell ref="N130:N134"/>
    <mergeCell ref="O130:O134"/>
    <mergeCell ref="A130:A134"/>
    <mergeCell ref="C130:C134"/>
    <mergeCell ref="D130:D134"/>
    <mergeCell ref="E130:E134"/>
    <mergeCell ref="F130:F134"/>
    <mergeCell ref="G130:G134"/>
    <mergeCell ref="H130:H134"/>
    <mergeCell ref="I130:I134"/>
    <mergeCell ref="J130:J134"/>
    <mergeCell ref="O123:O126"/>
    <mergeCell ref="A127:A129"/>
    <mergeCell ref="C127:C129"/>
    <mergeCell ref="D127:D129"/>
    <mergeCell ref="E127:E129"/>
    <mergeCell ref="F127:F129"/>
    <mergeCell ref="G127:G129"/>
    <mergeCell ref="H127:H129"/>
    <mergeCell ref="I127:I129"/>
    <mergeCell ref="J127:J129"/>
    <mergeCell ref="K127:K129"/>
    <mergeCell ref="L127:L129"/>
    <mergeCell ref="M127:M129"/>
    <mergeCell ref="N127:N129"/>
    <mergeCell ref="O127:O129"/>
    <mergeCell ref="C123:C126"/>
    <mergeCell ref="D123:D126"/>
    <mergeCell ref="E123:E126"/>
    <mergeCell ref="F123:F126"/>
    <mergeCell ref="G123:G126"/>
    <mergeCell ref="H123:H126"/>
    <mergeCell ref="G121:G122"/>
    <mergeCell ref="H121:H122"/>
    <mergeCell ref="I121:I122"/>
    <mergeCell ref="J121:J122"/>
    <mergeCell ref="K121:K122"/>
    <mergeCell ref="L123:L126"/>
    <mergeCell ref="M123:M126"/>
    <mergeCell ref="N123:N126"/>
    <mergeCell ref="L121:L122"/>
    <mergeCell ref="M121:M122"/>
    <mergeCell ref="N121:N122"/>
    <mergeCell ref="O121:O122"/>
    <mergeCell ref="A123:A126"/>
    <mergeCell ref="N115:N120"/>
    <mergeCell ref="O115:O120"/>
    <mergeCell ref="F115:F120"/>
    <mergeCell ref="G115:G120"/>
    <mergeCell ref="H115:H120"/>
    <mergeCell ref="I115:I120"/>
    <mergeCell ref="J115:J120"/>
    <mergeCell ref="K115:K120"/>
    <mergeCell ref="L115:L120"/>
    <mergeCell ref="M115:M120"/>
    <mergeCell ref="I123:I126"/>
    <mergeCell ref="J123:J126"/>
    <mergeCell ref="K123:K126"/>
    <mergeCell ref="D115:D120"/>
    <mergeCell ref="E115:E120"/>
    <mergeCell ref="A121:A122"/>
    <mergeCell ref="C121:C122"/>
    <mergeCell ref="D121:D122"/>
    <mergeCell ref="E121:E122"/>
    <mergeCell ref="A115:A120"/>
    <mergeCell ref="C115:C120"/>
    <mergeCell ref="F121:F122"/>
    <mergeCell ref="A26:A30"/>
    <mergeCell ref="A31:A34"/>
    <mergeCell ref="C104:C109"/>
    <mergeCell ref="D104:E109"/>
    <mergeCell ref="F104:F109"/>
    <mergeCell ref="C110:C111"/>
    <mergeCell ref="D110:E111"/>
    <mergeCell ref="F110:F111"/>
    <mergeCell ref="C26:C30"/>
    <mergeCell ref="D26:D30"/>
    <mergeCell ref="E26:E30"/>
    <mergeCell ref="F26:F30"/>
    <mergeCell ref="E75:E77"/>
    <mergeCell ref="F75:F77"/>
    <mergeCell ref="A71:A74"/>
    <mergeCell ref="C71:C74"/>
    <mergeCell ref="F63:F68"/>
    <mergeCell ref="D57:E58"/>
    <mergeCell ref="C54:C56"/>
    <mergeCell ref="D54:D56"/>
    <mergeCell ref="E54:E56"/>
    <mergeCell ref="C51:C53"/>
    <mergeCell ref="A69:A70"/>
    <mergeCell ref="O71:O74"/>
    <mergeCell ref="L46:L50"/>
    <mergeCell ref="M46:M50"/>
    <mergeCell ref="N46:N50"/>
    <mergeCell ref="O46:O50"/>
    <mergeCell ref="M51:M53"/>
    <mergeCell ref="M59:M62"/>
    <mergeCell ref="N51:N53"/>
    <mergeCell ref="O51:O53"/>
    <mergeCell ref="M57:M58"/>
    <mergeCell ref="N59:N62"/>
    <mergeCell ref="O59:O62"/>
    <mergeCell ref="O31:O33"/>
    <mergeCell ref="K69:K70"/>
    <mergeCell ref="L69:L70"/>
    <mergeCell ref="M69:M70"/>
    <mergeCell ref="N69:N70"/>
    <mergeCell ref="O69:O70"/>
    <mergeCell ref="L54:L56"/>
    <mergeCell ref="M54:M56"/>
    <mergeCell ref="N54:N56"/>
    <mergeCell ref="O54:O56"/>
    <mergeCell ref="M63:M68"/>
    <mergeCell ref="N63:N68"/>
    <mergeCell ref="O63:O68"/>
    <mergeCell ref="N57:N58"/>
    <mergeCell ref="O57:O58"/>
    <mergeCell ref="O40:O45"/>
    <mergeCell ref="K26:K30"/>
    <mergeCell ref="M71:M74"/>
    <mergeCell ref="L26:L30"/>
    <mergeCell ref="M26:M30"/>
    <mergeCell ref="N26:N30"/>
    <mergeCell ref="G57:G58"/>
    <mergeCell ref="H57:H58"/>
    <mergeCell ref="I57:I58"/>
    <mergeCell ref="J57:J58"/>
    <mergeCell ref="K40:K45"/>
    <mergeCell ref="L40:L45"/>
    <mergeCell ref="M40:M45"/>
    <mergeCell ref="N40:N45"/>
    <mergeCell ref="K46:K50"/>
    <mergeCell ref="H31:H33"/>
    <mergeCell ref="I31:I33"/>
    <mergeCell ref="J31:J33"/>
    <mergeCell ref="K31:K33"/>
    <mergeCell ref="L31:L33"/>
    <mergeCell ref="M31:M33"/>
    <mergeCell ref="N31:N33"/>
    <mergeCell ref="J40:J45"/>
    <mergeCell ref="J46:J50"/>
    <mergeCell ref="N71:N74"/>
    <mergeCell ref="O78:O82"/>
    <mergeCell ref="O26:O30"/>
    <mergeCell ref="A92:A97"/>
    <mergeCell ref="C92:C97"/>
    <mergeCell ref="F92:F97"/>
    <mergeCell ref="G92:G97"/>
    <mergeCell ref="H92:H97"/>
    <mergeCell ref="I92:I97"/>
    <mergeCell ref="J92:J97"/>
    <mergeCell ref="I83:I85"/>
    <mergeCell ref="J83:J85"/>
    <mergeCell ref="A86:A91"/>
    <mergeCell ref="C86:C91"/>
    <mergeCell ref="F86:F91"/>
    <mergeCell ref="G86:G91"/>
    <mergeCell ref="H86:H91"/>
    <mergeCell ref="I86:I91"/>
    <mergeCell ref="J86:J91"/>
    <mergeCell ref="N86:N91"/>
    <mergeCell ref="O86:O91"/>
    <mergeCell ref="D83:E85"/>
    <mergeCell ref="J75:J77"/>
    <mergeCell ref="G26:G30"/>
    <mergeCell ref="H26:H30"/>
    <mergeCell ref="O83:O85"/>
    <mergeCell ref="L86:L91"/>
    <mergeCell ref="M83:M85"/>
    <mergeCell ref="N83:N85"/>
    <mergeCell ref="A98:A103"/>
    <mergeCell ref="C98:C103"/>
    <mergeCell ref="F98:F103"/>
    <mergeCell ref="G98:G103"/>
    <mergeCell ref="D71:D74"/>
    <mergeCell ref="E71:E74"/>
    <mergeCell ref="F71:F74"/>
    <mergeCell ref="G71:G74"/>
    <mergeCell ref="G75:G77"/>
    <mergeCell ref="A78:A82"/>
    <mergeCell ref="C78:C82"/>
    <mergeCell ref="D78:D82"/>
    <mergeCell ref="E78:E82"/>
    <mergeCell ref="F78:F82"/>
    <mergeCell ref="G78:G82"/>
    <mergeCell ref="B69:B82"/>
    <mergeCell ref="M92:M97"/>
    <mergeCell ref="N75:N77"/>
    <mergeCell ref="O75:O77"/>
    <mergeCell ref="K78:K82"/>
    <mergeCell ref="J21:J25"/>
    <mergeCell ref="E21:E25"/>
    <mergeCell ref="F21:F25"/>
    <mergeCell ref="G21:G25"/>
    <mergeCell ref="H21:H25"/>
    <mergeCell ref="I21:I25"/>
    <mergeCell ref="D21:D25"/>
    <mergeCell ref="E40:E50"/>
    <mergeCell ref="D40:D53"/>
    <mergeCell ref="I26:I30"/>
    <mergeCell ref="J26:J30"/>
    <mergeCell ref="E51:E53"/>
    <mergeCell ref="L13:L16"/>
    <mergeCell ref="G10:G12"/>
    <mergeCell ref="H10:H12"/>
    <mergeCell ref="I10:I12"/>
    <mergeCell ref="A10:A12"/>
    <mergeCell ref="C10:C12"/>
    <mergeCell ref="D10:D12"/>
    <mergeCell ref="E10:E12"/>
    <mergeCell ref="F10:F12"/>
    <mergeCell ref="P4:R4"/>
    <mergeCell ref="O10:O12"/>
    <mergeCell ref="J10:J12"/>
    <mergeCell ref="K10:K12"/>
    <mergeCell ref="L10:L12"/>
    <mergeCell ref="M10:M12"/>
    <mergeCell ref="N10:N12"/>
    <mergeCell ref="B10:B20"/>
    <mergeCell ref="AB8:AB9"/>
    <mergeCell ref="Z8:Z9"/>
    <mergeCell ref="AA8:AA9"/>
    <mergeCell ref="H8:H9"/>
    <mergeCell ref="I8:I9"/>
    <mergeCell ref="J8:J9"/>
    <mergeCell ref="M8:M9"/>
    <mergeCell ref="N8:N9"/>
    <mergeCell ref="C8:C9"/>
    <mergeCell ref="O8:O9"/>
    <mergeCell ref="K8:K9"/>
    <mergeCell ref="L8:L9"/>
    <mergeCell ref="R8:R9"/>
    <mergeCell ref="S8:X8"/>
    <mergeCell ref="E13:E16"/>
    <mergeCell ref="F13:F16"/>
    <mergeCell ref="AF8:AF9"/>
    <mergeCell ref="AK8:AK9"/>
    <mergeCell ref="AJ8:AJ9"/>
    <mergeCell ref="AI8:AI9"/>
    <mergeCell ref="AH8:AH9"/>
    <mergeCell ref="AG8:AG9"/>
    <mergeCell ref="A5:C5"/>
    <mergeCell ref="A6:C6"/>
    <mergeCell ref="A8:A9"/>
    <mergeCell ref="G8:G9"/>
    <mergeCell ref="F8:F9"/>
    <mergeCell ref="E8:E9"/>
    <mergeCell ref="D8:D9"/>
    <mergeCell ref="AE8:AE9"/>
    <mergeCell ref="D5:O5"/>
    <mergeCell ref="D6:O6"/>
    <mergeCell ref="P8:P9"/>
    <mergeCell ref="AD8:AD9"/>
    <mergeCell ref="AC8:AC9"/>
    <mergeCell ref="Y8:Y9"/>
    <mergeCell ref="Q8:Q9"/>
    <mergeCell ref="M13:M16"/>
    <mergeCell ref="N13:N16"/>
    <mergeCell ref="O13:O16"/>
    <mergeCell ref="A17:A19"/>
    <mergeCell ref="C17:C19"/>
    <mergeCell ref="D17:D19"/>
    <mergeCell ref="E17:E19"/>
    <mergeCell ref="F17:F19"/>
    <mergeCell ref="G17:G19"/>
    <mergeCell ref="H17:H19"/>
    <mergeCell ref="I17:I19"/>
    <mergeCell ref="J17:J19"/>
    <mergeCell ref="K17:K19"/>
    <mergeCell ref="L17:L19"/>
    <mergeCell ref="M17:M19"/>
    <mergeCell ref="G13:G16"/>
    <mergeCell ref="H13:H16"/>
    <mergeCell ref="I13:I16"/>
    <mergeCell ref="J13:J16"/>
    <mergeCell ref="K13:K16"/>
    <mergeCell ref="A13:A16"/>
    <mergeCell ref="C13:C16"/>
    <mergeCell ref="D13:D16"/>
    <mergeCell ref="N17:N19"/>
    <mergeCell ref="O17:O19"/>
    <mergeCell ref="A1:AK2"/>
    <mergeCell ref="A7:H7"/>
    <mergeCell ref="I7:O7"/>
    <mergeCell ref="P7:X7"/>
    <mergeCell ref="Y7:AE7"/>
    <mergeCell ref="AF7:AK7"/>
    <mergeCell ref="C140:AK140"/>
    <mergeCell ref="A112:A114"/>
    <mergeCell ref="C112:C114"/>
    <mergeCell ref="K21:K25"/>
    <mergeCell ref="L21:L25"/>
    <mergeCell ref="M21:M25"/>
    <mergeCell ref="B21:B35"/>
    <mergeCell ref="B36:B39"/>
    <mergeCell ref="C31:C33"/>
    <mergeCell ref="D31:D33"/>
    <mergeCell ref="E31:E33"/>
    <mergeCell ref="F31:F33"/>
    <mergeCell ref="G31:G33"/>
    <mergeCell ref="N21:N25"/>
    <mergeCell ref="O21:O25"/>
    <mergeCell ref="A21:A25"/>
    <mergeCell ref="C21:C25"/>
    <mergeCell ref="O92:O97"/>
    <mergeCell ref="M110:M111"/>
    <mergeCell ref="O104:O109"/>
    <mergeCell ref="N110:N111"/>
    <mergeCell ref="O110:O111"/>
    <mergeCell ref="M104:M109"/>
    <mergeCell ref="N104:N109"/>
    <mergeCell ref="K112:K114"/>
    <mergeCell ref="L112:L114"/>
    <mergeCell ref="M112:M114"/>
    <mergeCell ref="N112:N114"/>
    <mergeCell ref="O112:O114"/>
    <mergeCell ref="K98:K103"/>
    <mergeCell ref="M98:M103"/>
    <mergeCell ref="N98:N103"/>
    <mergeCell ref="O98:O103"/>
    <mergeCell ref="K110:K111"/>
    <mergeCell ref="L110:L111"/>
    <mergeCell ref="L98:L103"/>
    <mergeCell ref="K104:K109"/>
    <mergeCell ref="L104:L109"/>
    <mergeCell ref="K92:K97"/>
    <mergeCell ref="L92:L97"/>
    <mergeCell ref="G63:G68"/>
    <mergeCell ref="H63:H68"/>
    <mergeCell ref="I63:I68"/>
    <mergeCell ref="F112:F114"/>
    <mergeCell ref="G112:G114"/>
    <mergeCell ref="H112:H114"/>
    <mergeCell ref="I112:I114"/>
    <mergeCell ref="N92:N97"/>
    <mergeCell ref="L78:L82"/>
    <mergeCell ref="M78:M82"/>
    <mergeCell ref="N78:N82"/>
    <mergeCell ref="G104:G109"/>
    <mergeCell ref="H104:H109"/>
    <mergeCell ref="I104:I109"/>
    <mergeCell ref="J104:J109"/>
    <mergeCell ref="G110:G111"/>
    <mergeCell ref="H110:H111"/>
    <mergeCell ref="I110:I111"/>
    <mergeCell ref="F83:F85"/>
    <mergeCell ref="G83:G85"/>
    <mergeCell ref="H83:H85"/>
    <mergeCell ref="H98:H103"/>
    <mergeCell ref="F69:F70"/>
    <mergeCell ref="J69:J70"/>
    <mergeCell ref="H69:H70"/>
    <mergeCell ref="I69:I70"/>
    <mergeCell ref="G69:G70"/>
    <mergeCell ref="C75:C77"/>
    <mergeCell ref="D75:D77"/>
    <mergeCell ref="C83:C85"/>
    <mergeCell ref="J110:J111"/>
    <mergeCell ref="D86:E91"/>
    <mergeCell ref="D92:E97"/>
    <mergeCell ref="I98:I103"/>
    <mergeCell ref="J98:J103"/>
    <mergeCell ref="H71:H74"/>
    <mergeCell ref="I71:I74"/>
    <mergeCell ref="J71:J74"/>
    <mergeCell ref="I75:I77"/>
    <mergeCell ref="C69:C70"/>
    <mergeCell ref="D69:D70"/>
    <mergeCell ref="K75:K77"/>
    <mergeCell ref="L75:L77"/>
    <mergeCell ref="K86:K91"/>
    <mergeCell ref="K83:K85"/>
    <mergeCell ref="L83:L85"/>
    <mergeCell ref="J112:J114"/>
    <mergeCell ref="M86:M91"/>
    <mergeCell ref="G51:G53"/>
    <mergeCell ref="H51:H53"/>
    <mergeCell ref="I51:I53"/>
    <mergeCell ref="J51:J53"/>
    <mergeCell ref="K51:K53"/>
    <mergeCell ref="L63:L68"/>
    <mergeCell ref="K57:K58"/>
    <mergeCell ref="L51:L53"/>
    <mergeCell ref="K59:K62"/>
    <mergeCell ref="L59:L62"/>
    <mergeCell ref="K54:K56"/>
    <mergeCell ref="L57:L58"/>
    <mergeCell ref="J63:J68"/>
    <mergeCell ref="K63:K68"/>
    <mergeCell ref="J59:J62"/>
    <mergeCell ref="J54:J56"/>
    <mergeCell ref="M75:M77"/>
    <mergeCell ref="K71:K74"/>
    <mergeCell ref="L71:L74"/>
    <mergeCell ref="H78:H82"/>
    <mergeCell ref="I78:I82"/>
    <mergeCell ref="J78:J82"/>
    <mergeCell ref="H75:H77"/>
    <mergeCell ref="F40:F45"/>
    <mergeCell ref="G40:G45"/>
    <mergeCell ref="H40:H45"/>
    <mergeCell ref="I40:I45"/>
    <mergeCell ref="G59:G62"/>
    <mergeCell ref="H59:H62"/>
    <mergeCell ref="I59:I62"/>
    <mergeCell ref="F54:F56"/>
    <mergeCell ref="G54:G56"/>
    <mergeCell ref="H54:H56"/>
    <mergeCell ref="I54:I56"/>
    <mergeCell ref="F51:F53"/>
    <mergeCell ref="F46:F50"/>
    <mergeCell ref="G46:G50"/>
    <mergeCell ref="H46:H50"/>
    <mergeCell ref="I46:I50"/>
    <mergeCell ref="F57:F58"/>
    <mergeCell ref="F59:F62"/>
    <mergeCell ref="C135:C139"/>
    <mergeCell ref="D135:D139"/>
    <mergeCell ref="E135:E139"/>
    <mergeCell ref="B40:B53"/>
    <mergeCell ref="B54:B68"/>
    <mergeCell ref="A40:A45"/>
    <mergeCell ref="A46:A50"/>
    <mergeCell ref="A51:A53"/>
    <mergeCell ref="C59:C62"/>
    <mergeCell ref="D59:D62"/>
    <mergeCell ref="E59:E62"/>
    <mergeCell ref="C40:C45"/>
    <mergeCell ref="E69:E70"/>
    <mergeCell ref="C63:C68"/>
    <mergeCell ref="C46:C50"/>
    <mergeCell ref="D112:E114"/>
    <mergeCell ref="B104:B114"/>
    <mergeCell ref="A104:A109"/>
    <mergeCell ref="A110:A111"/>
    <mergeCell ref="O135:O139"/>
    <mergeCell ref="B115:B140"/>
    <mergeCell ref="A135:A140"/>
    <mergeCell ref="A4:O4"/>
    <mergeCell ref="F135:F139"/>
    <mergeCell ref="G135:G139"/>
    <mergeCell ref="H135:H139"/>
    <mergeCell ref="I135:I139"/>
    <mergeCell ref="J135:J139"/>
    <mergeCell ref="K135:K139"/>
    <mergeCell ref="L135:L139"/>
    <mergeCell ref="M135:M139"/>
    <mergeCell ref="N135:N139"/>
    <mergeCell ref="A54:A56"/>
    <mergeCell ref="A57:A58"/>
    <mergeCell ref="A59:A62"/>
    <mergeCell ref="A63:A68"/>
    <mergeCell ref="C57:C58"/>
    <mergeCell ref="D63:E68"/>
    <mergeCell ref="A75:A77"/>
    <mergeCell ref="A83:A85"/>
    <mergeCell ref="B83:B85"/>
    <mergeCell ref="D98:E103"/>
    <mergeCell ref="B86:B103"/>
  </mergeCells>
  <conditionalFormatting sqref="I10 I13 I17 I20:I21 I35:I38 Z37 Z51:Z77 Z83:Z85 Z27:Z34 Z10:Z20 Z98:Z120">
    <cfRule type="cellIs" dxfId="599" priority="1135" operator="equal">
      <formula>"Muy Alta"</formula>
    </cfRule>
    <cfRule type="cellIs" dxfId="598" priority="1136" operator="equal">
      <formula>"Alta"</formula>
    </cfRule>
    <cfRule type="cellIs" dxfId="597" priority="1137" operator="equal">
      <formula>"Media"</formula>
    </cfRule>
    <cfRule type="cellIs" dxfId="596" priority="1138" operator="equal">
      <formula>"Baja"</formula>
    </cfRule>
    <cfRule type="cellIs" dxfId="595" priority="1139" operator="equal">
      <formula>"Muy Baja"</formula>
    </cfRule>
  </conditionalFormatting>
  <conditionalFormatting sqref="M10 M13 M17 M20:M21 M35:M38 AB37 AB51:AB77 AB83:AB85 AB27:AB34 AB10:AB20 AB98:AB117">
    <cfRule type="cellIs" dxfId="594" priority="1130" operator="equal">
      <formula>"Catastrófico"</formula>
    </cfRule>
    <cfRule type="cellIs" dxfId="593" priority="1131" operator="equal">
      <formula>"Mayor"</formula>
    </cfRule>
    <cfRule type="cellIs" dxfId="592" priority="1132" operator="equal">
      <formula>"Moderado"</formula>
    </cfRule>
    <cfRule type="cellIs" dxfId="591" priority="1133" operator="equal">
      <formula>"Menor"</formula>
    </cfRule>
    <cfRule type="cellIs" dxfId="590" priority="1134" operator="equal">
      <formula>"Leve"</formula>
    </cfRule>
  </conditionalFormatting>
  <conditionalFormatting sqref="O10 AD37 AD51:AD77 AD83:AD85 AD27:AD34 AD10:AD20 AD98:AD114">
    <cfRule type="cellIs" dxfId="589" priority="1126" operator="equal">
      <formula>"Extremo"</formula>
    </cfRule>
    <cfRule type="cellIs" dxfId="588" priority="1127" operator="equal">
      <formula>"Alto"</formula>
    </cfRule>
    <cfRule type="cellIs" dxfId="587" priority="1128" operator="equal">
      <formula>"Moderado"</formula>
    </cfRule>
    <cfRule type="cellIs" dxfId="586" priority="1129" operator="equal">
      <formula>"Bajo"</formula>
    </cfRule>
  </conditionalFormatting>
  <conditionalFormatting sqref="O13">
    <cfRule type="cellIs" dxfId="585" priority="1056" operator="equal">
      <formula>"Extremo"</formula>
    </cfRule>
    <cfRule type="cellIs" dxfId="584" priority="1057" operator="equal">
      <formula>"Alto"</formula>
    </cfRule>
    <cfRule type="cellIs" dxfId="583" priority="1058" operator="equal">
      <formula>"Moderado"</formula>
    </cfRule>
    <cfRule type="cellIs" dxfId="582" priority="1059" operator="equal">
      <formula>"Bajo"</formula>
    </cfRule>
  </conditionalFormatting>
  <conditionalFormatting sqref="O17">
    <cfRule type="cellIs" dxfId="581" priority="1028" operator="equal">
      <formula>"Extremo"</formula>
    </cfRule>
    <cfRule type="cellIs" dxfId="580" priority="1029" operator="equal">
      <formula>"Alto"</formula>
    </cfRule>
    <cfRule type="cellIs" dxfId="579" priority="1030" operator="equal">
      <formula>"Moderado"</formula>
    </cfRule>
    <cfRule type="cellIs" dxfId="578" priority="1031" operator="equal">
      <formula>"Bajo"</formula>
    </cfRule>
  </conditionalFormatting>
  <conditionalFormatting sqref="O20">
    <cfRule type="cellIs" dxfId="577" priority="1000" operator="equal">
      <formula>"Extremo"</formula>
    </cfRule>
    <cfRule type="cellIs" dxfId="576" priority="1001" operator="equal">
      <formula>"Alto"</formula>
    </cfRule>
    <cfRule type="cellIs" dxfId="575" priority="1002" operator="equal">
      <formula>"Moderado"</formula>
    </cfRule>
    <cfRule type="cellIs" dxfId="574" priority="1003" operator="equal">
      <formula>"Bajo"</formula>
    </cfRule>
  </conditionalFormatting>
  <conditionalFormatting sqref="O21">
    <cfRule type="cellIs" dxfId="573" priority="972" operator="equal">
      <formula>"Extremo"</formula>
    </cfRule>
    <cfRule type="cellIs" dxfId="572" priority="973" operator="equal">
      <formula>"Alto"</formula>
    </cfRule>
    <cfRule type="cellIs" dxfId="571" priority="974" operator="equal">
      <formula>"Moderado"</formula>
    </cfRule>
    <cfRule type="cellIs" dxfId="570" priority="975" operator="equal">
      <formula>"Bajo"</formula>
    </cfRule>
  </conditionalFormatting>
  <conditionalFormatting sqref="Z21:Z25">
    <cfRule type="cellIs" dxfId="569" priority="967" operator="equal">
      <formula>"Muy Alta"</formula>
    </cfRule>
    <cfRule type="cellIs" dxfId="568" priority="968" operator="equal">
      <formula>"Alta"</formula>
    </cfRule>
    <cfRule type="cellIs" dxfId="567" priority="969" operator="equal">
      <formula>"Media"</formula>
    </cfRule>
    <cfRule type="cellIs" dxfId="566" priority="970" operator="equal">
      <formula>"Baja"</formula>
    </cfRule>
    <cfRule type="cellIs" dxfId="565" priority="971" operator="equal">
      <formula>"Muy Baja"</formula>
    </cfRule>
  </conditionalFormatting>
  <conditionalFormatting sqref="AB21:AB25">
    <cfRule type="cellIs" dxfId="564" priority="962" operator="equal">
      <formula>"Catastrófico"</formula>
    </cfRule>
    <cfRule type="cellIs" dxfId="563" priority="963" operator="equal">
      <formula>"Mayor"</formula>
    </cfRule>
    <cfRule type="cellIs" dxfId="562" priority="964" operator="equal">
      <formula>"Moderado"</formula>
    </cfRule>
    <cfRule type="cellIs" dxfId="561" priority="965" operator="equal">
      <formula>"Menor"</formula>
    </cfRule>
    <cfRule type="cellIs" dxfId="560" priority="966" operator="equal">
      <formula>"Leve"</formula>
    </cfRule>
  </conditionalFormatting>
  <conditionalFormatting sqref="AD21:AD25">
    <cfRule type="cellIs" dxfId="559" priority="958" operator="equal">
      <formula>"Extremo"</formula>
    </cfRule>
    <cfRule type="cellIs" dxfId="558" priority="959" operator="equal">
      <formula>"Alto"</formula>
    </cfRule>
    <cfRule type="cellIs" dxfId="557" priority="960" operator="equal">
      <formula>"Moderado"</formula>
    </cfRule>
    <cfRule type="cellIs" dxfId="556" priority="961" operator="equal">
      <formula>"Bajo"</formula>
    </cfRule>
  </conditionalFormatting>
  <conditionalFormatting sqref="O35">
    <cfRule type="cellIs" dxfId="555" priority="944" operator="equal">
      <formula>"Extremo"</formula>
    </cfRule>
    <cfRule type="cellIs" dxfId="554" priority="945" operator="equal">
      <formula>"Alto"</formula>
    </cfRule>
    <cfRule type="cellIs" dxfId="553" priority="946" operator="equal">
      <formula>"Moderado"</formula>
    </cfRule>
    <cfRule type="cellIs" dxfId="552" priority="947" operator="equal">
      <formula>"Bajo"</formula>
    </cfRule>
  </conditionalFormatting>
  <conditionalFormatting sqref="Z35">
    <cfRule type="cellIs" dxfId="551" priority="939" operator="equal">
      <formula>"Muy Alta"</formula>
    </cfRule>
    <cfRule type="cellIs" dxfId="550" priority="940" operator="equal">
      <formula>"Alta"</formula>
    </cfRule>
    <cfRule type="cellIs" dxfId="549" priority="941" operator="equal">
      <formula>"Media"</formula>
    </cfRule>
    <cfRule type="cellIs" dxfId="548" priority="942" operator="equal">
      <formula>"Baja"</formula>
    </cfRule>
    <cfRule type="cellIs" dxfId="547" priority="943" operator="equal">
      <formula>"Muy Baja"</formula>
    </cfRule>
  </conditionalFormatting>
  <conditionalFormatting sqref="AB35">
    <cfRule type="cellIs" dxfId="546" priority="934" operator="equal">
      <formula>"Catastrófico"</formula>
    </cfRule>
    <cfRule type="cellIs" dxfId="545" priority="935" operator="equal">
      <formula>"Mayor"</formula>
    </cfRule>
    <cfRule type="cellIs" dxfId="544" priority="936" operator="equal">
      <formula>"Moderado"</formula>
    </cfRule>
    <cfRule type="cellIs" dxfId="543" priority="937" operator="equal">
      <formula>"Menor"</formula>
    </cfRule>
    <cfRule type="cellIs" dxfId="542" priority="938" operator="equal">
      <formula>"Leve"</formula>
    </cfRule>
  </conditionalFormatting>
  <conditionalFormatting sqref="AD35">
    <cfRule type="cellIs" dxfId="541" priority="930" operator="equal">
      <formula>"Extremo"</formula>
    </cfRule>
    <cfRule type="cellIs" dxfId="540" priority="931" operator="equal">
      <formula>"Alto"</formula>
    </cfRule>
    <cfRule type="cellIs" dxfId="539" priority="932" operator="equal">
      <formula>"Moderado"</formula>
    </cfRule>
    <cfRule type="cellIs" dxfId="538" priority="933" operator="equal">
      <formula>"Bajo"</formula>
    </cfRule>
  </conditionalFormatting>
  <conditionalFormatting sqref="O36">
    <cfRule type="cellIs" dxfId="537" priority="916" operator="equal">
      <formula>"Extremo"</formula>
    </cfRule>
    <cfRule type="cellIs" dxfId="536" priority="917" operator="equal">
      <formula>"Alto"</formula>
    </cfRule>
    <cfRule type="cellIs" dxfId="535" priority="918" operator="equal">
      <formula>"Moderado"</formula>
    </cfRule>
    <cfRule type="cellIs" dxfId="534" priority="919" operator="equal">
      <formula>"Bajo"</formula>
    </cfRule>
  </conditionalFormatting>
  <conditionalFormatting sqref="Z36">
    <cfRule type="cellIs" dxfId="533" priority="911" operator="equal">
      <formula>"Muy Alta"</formula>
    </cfRule>
    <cfRule type="cellIs" dxfId="532" priority="912" operator="equal">
      <formula>"Alta"</formula>
    </cfRule>
    <cfRule type="cellIs" dxfId="531" priority="913" operator="equal">
      <formula>"Media"</formula>
    </cfRule>
    <cfRule type="cellIs" dxfId="530" priority="914" operator="equal">
      <formula>"Baja"</formula>
    </cfRule>
    <cfRule type="cellIs" dxfId="529" priority="915" operator="equal">
      <formula>"Muy Baja"</formula>
    </cfRule>
  </conditionalFormatting>
  <conditionalFormatting sqref="AB36">
    <cfRule type="cellIs" dxfId="528" priority="906" operator="equal">
      <formula>"Catastrófico"</formula>
    </cfRule>
    <cfRule type="cellIs" dxfId="527" priority="907" operator="equal">
      <formula>"Mayor"</formula>
    </cfRule>
    <cfRule type="cellIs" dxfId="526" priority="908" operator="equal">
      <formula>"Moderado"</formula>
    </cfRule>
    <cfRule type="cellIs" dxfId="525" priority="909" operator="equal">
      <formula>"Menor"</formula>
    </cfRule>
    <cfRule type="cellIs" dxfId="524" priority="910" operator="equal">
      <formula>"Leve"</formula>
    </cfRule>
  </conditionalFormatting>
  <conditionalFormatting sqref="AD36">
    <cfRule type="cellIs" dxfId="523" priority="902" operator="equal">
      <formula>"Extremo"</formula>
    </cfRule>
    <cfRule type="cellIs" dxfId="522" priority="903" operator="equal">
      <formula>"Alto"</formula>
    </cfRule>
    <cfRule type="cellIs" dxfId="521" priority="904" operator="equal">
      <formula>"Moderado"</formula>
    </cfRule>
    <cfRule type="cellIs" dxfId="520" priority="905" operator="equal">
      <formula>"Bajo"</formula>
    </cfRule>
  </conditionalFormatting>
  <conditionalFormatting sqref="O37">
    <cfRule type="cellIs" dxfId="519" priority="860" operator="equal">
      <formula>"Extremo"</formula>
    </cfRule>
    <cfRule type="cellIs" dxfId="518" priority="861" operator="equal">
      <formula>"Alto"</formula>
    </cfRule>
    <cfRule type="cellIs" dxfId="517" priority="862" operator="equal">
      <formula>"Moderado"</formula>
    </cfRule>
    <cfRule type="cellIs" dxfId="516" priority="863" operator="equal">
      <formula>"Bajo"</formula>
    </cfRule>
  </conditionalFormatting>
  <conditionalFormatting sqref="O38">
    <cfRule type="cellIs" dxfId="515" priority="832" operator="equal">
      <formula>"Extremo"</formula>
    </cfRule>
    <cfRule type="cellIs" dxfId="514" priority="833" operator="equal">
      <formula>"Alto"</formula>
    </cfRule>
    <cfRule type="cellIs" dxfId="513" priority="834" operator="equal">
      <formula>"Moderado"</formula>
    </cfRule>
    <cfRule type="cellIs" dxfId="512" priority="835" operator="equal">
      <formula>"Bajo"</formula>
    </cfRule>
  </conditionalFormatting>
  <conditionalFormatting sqref="Z38">
    <cfRule type="cellIs" dxfId="511" priority="827" operator="equal">
      <formula>"Muy Alta"</formula>
    </cfRule>
    <cfRule type="cellIs" dxfId="510" priority="828" operator="equal">
      <formula>"Alta"</formula>
    </cfRule>
    <cfRule type="cellIs" dxfId="509" priority="829" operator="equal">
      <formula>"Media"</formula>
    </cfRule>
    <cfRule type="cellIs" dxfId="508" priority="830" operator="equal">
      <formula>"Baja"</formula>
    </cfRule>
    <cfRule type="cellIs" dxfId="507" priority="831" operator="equal">
      <formula>"Muy Baja"</formula>
    </cfRule>
  </conditionalFormatting>
  <conditionalFormatting sqref="AB38">
    <cfRule type="cellIs" dxfId="506" priority="822" operator="equal">
      <formula>"Catastrófico"</formula>
    </cfRule>
    <cfRule type="cellIs" dxfId="505" priority="823" operator="equal">
      <formula>"Mayor"</formula>
    </cfRule>
    <cfRule type="cellIs" dxfId="504" priority="824" operator="equal">
      <formula>"Moderado"</formula>
    </cfRule>
    <cfRule type="cellIs" dxfId="503" priority="825" operator="equal">
      <formula>"Menor"</formula>
    </cfRule>
    <cfRule type="cellIs" dxfId="502" priority="826" operator="equal">
      <formula>"Leve"</formula>
    </cfRule>
  </conditionalFormatting>
  <conditionalFormatting sqref="AD38">
    <cfRule type="cellIs" dxfId="501" priority="818" operator="equal">
      <formula>"Extremo"</formula>
    </cfRule>
    <cfRule type="cellIs" dxfId="500" priority="819" operator="equal">
      <formula>"Alto"</formula>
    </cfRule>
    <cfRule type="cellIs" dxfId="499" priority="820" operator="equal">
      <formula>"Moderado"</formula>
    </cfRule>
    <cfRule type="cellIs" dxfId="498" priority="821" operator="equal">
      <formula>"Bajo"</formula>
    </cfRule>
  </conditionalFormatting>
  <conditionalFormatting sqref="L35:L38 L31:L33 L51:L85 L10:L25 L110:L114">
    <cfRule type="containsText" dxfId="497" priority="817" operator="containsText" text="❌">
      <formula>NOT(ISERROR(SEARCH("❌",L10)))</formula>
    </cfRule>
  </conditionalFormatting>
  <conditionalFormatting sqref="Z39">
    <cfRule type="cellIs" dxfId="496" priority="733" operator="equal">
      <formula>"Muy Alta"</formula>
    </cfRule>
    <cfRule type="cellIs" dxfId="495" priority="734" operator="equal">
      <formula>"Alta"</formula>
    </cfRule>
    <cfRule type="cellIs" dxfId="494" priority="735" operator="equal">
      <formula>"Media"</formula>
    </cfRule>
    <cfRule type="cellIs" dxfId="493" priority="736" operator="equal">
      <formula>"Baja"</formula>
    </cfRule>
    <cfRule type="cellIs" dxfId="492" priority="737" operator="equal">
      <formula>"Muy Baja"</formula>
    </cfRule>
  </conditionalFormatting>
  <conditionalFormatting sqref="AB39">
    <cfRule type="cellIs" dxfId="491" priority="728" operator="equal">
      <formula>"Catastrófico"</formula>
    </cfRule>
    <cfRule type="cellIs" dxfId="490" priority="729" operator="equal">
      <formula>"Mayor"</formula>
    </cfRule>
    <cfRule type="cellIs" dxfId="489" priority="730" operator="equal">
      <formula>"Moderado"</formula>
    </cfRule>
    <cfRule type="cellIs" dxfId="488" priority="731" operator="equal">
      <formula>"Menor"</formula>
    </cfRule>
    <cfRule type="cellIs" dxfId="487" priority="732" operator="equal">
      <formula>"Leve"</formula>
    </cfRule>
  </conditionalFormatting>
  <conditionalFormatting sqref="AD39">
    <cfRule type="cellIs" dxfId="486" priority="724" operator="equal">
      <formula>"Extremo"</formula>
    </cfRule>
    <cfRule type="cellIs" dxfId="485" priority="725" operator="equal">
      <formula>"Alto"</formula>
    </cfRule>
    <cfRule type="cellIs" dxfId="484" priority="726" operator="equal">
      <formula>"Moderado"</formula>
    </cfRule>
    <cfRule type="cellIs" dxfId="483" priority="727" operator="equal">
      <formula>"Bajo"</formula>
    </cfRule>
  </conditionalFormatting>
  <conditionalFormatting sqref="Z40:Z45">
    <cfRule type="cellIs" dxfId="482" priority="715" operator="equal">
      <formula>"Muy Alta"</formula>
    </cfRule>
    <cfRule type="cellIs" dxfId="481" priority="716" operator="equal">
      <formula>"Alta"</formula>
    </cfRule>
    <cfRule type="cellIs" dxfId="480" priority="717" operator="equal">
      <formula>"Media"</formula>
    </cfRule>
    <cfRule type="cellIs" dxfId="479" priority="718" operator="equal">
      <formula>"Baja"</formula>
    </cfRule>
    <cfRule type="cellIs" dxfId="478" priority="719" operator="equal">
      <formula>"Muy Baja"</formula>
    </cfRule>
  </conditionalFormatting>
  <conditionalFormatting sqref="AB40:AB45">
    <cfRule type="cellIs" dxfId="477" priority="710" operator="equal">
      <formula>"Catastrófico"</formula>
    </cfRule>
    <cfRule type="cellIs" dxfId="476" priority="711" operator="equal">
      <formula>"Mayor"</formula>
    </cfRule>
    <cfRule type="cellIs" dxfId="475" priority="712" operator="equal">
      <formula>"Moderado"</formula>
    </cfRule>
    <cfRule type="cellIs" dxfId="474" priority="713" operator="equal">
      <formula>"Menor"</formula>
    </cfRule>
    <cfRule type="cellIs" dxfId="473" priority="714" operator="equal">
      <formula>"Leve"</formula>
    </cfRule>
  </conditionalFormatting>
  <conditionalFormatting sqref="AD40:AD45">
    <cfRule type="cellIs" dxfId="472" priority="706" operator="equal">
      <formula>"Extremo"</formula>
    </cfRule>
    <cfRule type="cellIs" dxfId="471" priority="707" operator="equal">
      <formula>"Alto"</formula>
    </cfRule>
    <cfRule type="cellIs" dxfId="470" priority="708" operator="equal">
      <formula>"Moderado"</formula>
    </cfRule>
    <cfRule type="cellIs" dxfId="469" priority="709" operator="equal">
      <formula>"Bajo"</formula>
    </cfRule>
  </conditionalFormatting>
  <conditionalFormatting sqref="Z46:Z50">
    <cfRule type="cellIs" dxfId="468" priority="697" operator="equal">
      <formula>"Muy Alta"</formula>
    </cfRule>
    <cfRule type="cellIs" dxfId="467" priority="698" operator="equal">
      <formula>"Alta"</formula>
    </cfRule>
    <cfRule type="cellIs" dxfId="466" priority="699" operator="equal">
      <formula>"Media"</formula>
    </cfRule>
    <cfRule type="cellIs" dxfId="465" priority="700" operator="equal">
      <formula>"Baja"</formula>
    </cfRule>
    <cfRule type="cellIs" dxfId="464" priority="701" operator="equal">
      <formula>"Muy Baja"</formula>
    </cfRule>
  </conditionalFormatting>
  <conditionalFormatting sqref="AB46:AB50">
    <cfRule type="cellIs" dxfId="463" priority="692" operator="equal">
      <formula>"Catastrófico"</formula>
    </cfRule>
    <cfRule type="cellIs" dxfId="462" priority="693" operator="equal">
      <formula>"Mayor"</formula>
    </cfRule>
    <cfRule type="cellIs" dxfId="461" priority="694" operator="equal">
      <formula>"Moderado"</formula>
    </cfRule>
    <cfRule type="cellIs" dxfId="460" priority="695" operator="equal">
      <formula>"Menor"</formula>
    </cfRule>
    <cfRule type="cellIs" dxfId="459" priority="696" operator="equal">
      <formula>"Leve"</formula>
    </cfRule>
  </conditionalFormatting>
  <conditionalFormatting sqref="AD46:AD50">
    <cfRule type="cellIs" dxfId="458" priority="688" operator="equal">
      <formula>"Extremo"</formula>
    </cfRule>
    <cfRule type="cellIs" dxfId="457" priority="689" operator="equal">
      <formula>"Alto"</formula>
    </cfRule>
    <cfRule type="cellIs" dxfId="456" priority="690" operator="equal">
      <formula>"Moderado"</formula>
    </cfRule>
    <cfRule type="cellIs" dxfId="455" priority="691" operator="equal">
      <formula>"Bajo"</formula>
    </cfRule>
  </conditionalFormatting>
  <conditionalFormatting sqref="I39">
    <cfRule type="cellIs" dxfId="454" priority="562" operator="equal">
      <formula>"Muy Alta"</formula>
    </cfRule>
    <cfRule type="cellIs" dxfId="453" priority="563" operator="equal">
      <formula>"Alta"</formula>
    </cfRule>
    <cfRule type="cellIs" dxfId="452" priority="564" operator="equal">
      <formula>"Media"</formula>
    </cfRule>
    <cfRule type="cellIs" dxfId="451" priority="565" operator="equal">
      <formula>"Baja"</formula>
    </cfRule>
    <cfRule type="cellIs" dxfId="450" priority="566" operator="equal">
      <formula>"Muy Baja"</formula>
    </cfRule>
  </conditionalFormatting>
  <conditionalFormatting sqref="M39">
    <cfRule type="cellIs" dxfId="449" priority="557" operator="equal">
      <formula>"Catastrófico"</formula>
    </cfRule>
    <cfRule type="cellIs" dxfId="448" priority="558" operator="equal">
      <formula>"Mayor"</formula>
    </cfRule>
    <cfRule type="cellIs" dxfId="447" priority="559" operator="equal">
      <formula>"Moderado"</formula>
    </cfRule>
    <cfRule type="cellIs" dxfId="446" priority="560" operator="equal">
      <formula>"Menor"</formula>
    </cfRule>
    <cfRule type="cellIs" dxfId="445" priority="561" operator="equal">
      <formula>"Leve"</formula>
    </cfRule>
  </conditionalFormatting>
  <conditionalFormatting sqref="O39">
    <cfRule type="cellIs" dxfId="444" priority="553" operator="equal">
      <formula>"Extremo"</formula>
    </cfRule>
    <cfRule type="cellIs" dxfId="443" priority="554" operator="equal">
      <formula>"Alto"</formula>
    </cfRule>
    <cfRule type="cellIs" dxfId="442" priority="555" operator="equal">
      <formula>"Moderado"</formula>
    </cfRule>
    <cfRule type="cellIs" dxfId="441" priority="556" operator="equal">
      <formula>"Bajo"</formula>
    </cfRule>
  </conditionalFormatting>
  <conditionalFormatting sqref="L39">
    <cfRule type="containsText" dxfId="440" priority="552" operator="containsText" text="❌">
      <formula>NOT(ISERROR(SEARCH("❌",L39)))</formula>
    </cfRule>
  </conditionalFormatting>
  <conditionalFormatting sqref="I40">
    <cfRule type="cellIs" dxfId="439" priority="547" operator="equal">
      <formula>"Muy Alta"</formula>
    </cfRule>
    <cfRule type="cellIs" dxfId="438" priority="548" operator="equal">
      <formula>"Alta"</formula>
    </cfRule>
    <cfRule type="cellIs" dxfId="437" priority="549" operator="equal">
      <formula>"Media"</formula>
    </cfRule>
    <cfRule type="cellIs" dxfId="436" priority="550" operator="equal">
      <formula>"Baja"</formula>
    </cfRule>
    <cfRule type="cellIs" dxfId="435" priority="551" operator="equal">
      <formula>"Muy Baja"</formula>
    </cfRule>
  </conditionalFormatting>
  <conditionalFormatting sqref="M40">
    <cfRule type="cellIs" dxfId="434" priority="542" operator="equal">
      <formula>"Catastrófico"</formula>
    </cfRule>
    <cfRule type="cellIs" dxfId="433" priority="543" operator="equal">
      <formula>"Mayor"</formula>
    </cfRule>
    <cfRule type="cellIs" dxfId="432" priority="544" operator="equal">
      <formula>"Moderado"</formula>
    </cfRule>
    <cfRule type="cellIs" dxfId="431" priority="545" operator="equal">
      <formula>"Menor"</formula>
    </cfRule>
    <cfRule type="cellIs" dxfId="430" priority="546" operator="equal">
      <formula>"Leve"</formula>
    </cfRule>
  </conditionalFormatting>
  <conditionalFormatting sqref="O40">
    <cfRule type="cellIs" dxfId="429" priority="538" operator="equal">
      <formula>"Extremo"</formula>
    </cfRule>
    <cfRule type="cellIs" dxfId="428" priority="539" operator="equal">
      <formula>"Alto"</formula>
    </cfRule>
    <cfRule type="cellIs" dxfId="427" priority="540" operator="equal">
      <formula>"Moderado"</formula>
    </cfRule>
    <cfRule type="cellIs" dxfId="426" priority="541" operator="equal">
      <formula>"Bajo"</formula>
    </cfRule>
  </conditionalFormatting>
  <conditionalFormatting sqref="L40:L45">
    <cfRule type="containsText" dxfId="425" priority="537" operator="containsText" text="❌">
      <formula>NOT(ISERROR(SEARCH("❌",L40)))</formula>
    </cfRule>
  </conditionalFormatting>
  <conditionalFormatting sqref="I46">
    <cfRule type="cellIs" dxfId="424" priority="532" operator="equal">
      <formula>"Muy Alta"</formula>
    </cfRule>
    <cfRule type="cellIs" dxfId="423" priority="533" operator="equal">
      <formula>"Alta"</formula>
    </cfRule>
    <cfRule type="cellIs" dxfId="422" priority="534" operator="equal">
      <formula>"Media"</formula>
    </cfRule>
    <cfRule type="cellIs" dxfId="421" priority="535" operator="equal">
      <formula>"Baja"</formula>
    </cfRule>
    <cfRule type="cellIs" dxfId="420" priority="536" operator="equal">
      <formula>"Muy Baja"</formula>
    </cfRule>
  </conditionalFormatting>
  <conditionalFormatting sqref="M46">
    <cfRule type="cellIs" dxfId="419" priority="527" operator="equal">
      <formula>"Catastrófico"</formula>
    </cfRule>
    <cfRule type="cellIs" dxfId="418" priority="528" operator="equal">
      <formula>"Mayor"</formula>
    </cfRule>
    <cfRule type="cellIs" dxfId="417" priority="529" operator="equal">
      <formula>"Moderado"</formula>
    </cfRule>
    <cfRule type="cellIs" dxfId="416" priority="530" operator="equal">
      <formula>"Menor"</formula>
    </cfRule>
    <cfRule type="cellIs" dxfId="415" priority="531" operator="equal">
      <formula>"Leve"</formula>
    </cfRule>
  </conditionalFormatting>
  <conditionalFormatting sqref="O46">
    <cfRule type="cellIs" dxfId="414" priority="523" operator="equal">
      <formula>"Extremo"</formula>
    </cfRule>
    <cfRule type="cellIs" dxfId="413" priority="524" operator="equal">
      <formula>"Alto"</formula>
    </cfRule>
    <cfRule type="cellIs" dxfId="412" priority="525" operator="equal">
      <formula>"Moderado"</formula>
    </cfRule>
    <cfRule type="cellIs" dxfId="411" priority="526" operator="equal">
      <formula>"Bajo"</formula>
    </cfRule>
  </conditionalFormatting>
  <conditionalFormatting sqref="L46:L50">
    <cfRule type="containsText" dxfId="410" priority="522" operator="containsText" text="❌">
      <formula>NOT(ISERROR(SEARCH("❌",L46)))</formula>
    </cfRule>
  </conditionalFormatting>
  <conditionalFormatting sqref="I51">
    <cfRule type="cellIs" dxfId="409" priority="517" operator="equal">
      <formula>"Muy Alta"</formula>
    </cfRule>
    <cfRule type="cellIs" dxfId="408" priority="518" operator="equal">
      <formula>"Alta"</formula>
    </cfRule>
    <cfRule type="cellIs" dxfId="407" priority="519" operator="equal">
      <formula>"Media"</formula>
    </cfRule>
    <cfRule type="cellIs" dxfId="406" priority="520" operator="equal">
      <formula>"Baja"</formula>
    </cfRule>
    <cfRule type="cellIs" dxfId="405" priority="521" operator="equal">
      <formula>"Muy Baja"</formula>
    </cfRule>
  </conditionalFormatting>
  <conditionalFormatting sqref="M51">
    <cfRule type="cellIs" dxfId="404" priority="512" operator="equal">
      <formula>"Catastrófico"</formula>
    </cfRule>
    <cfRule type="cellIs" dxfId="403" priority="513" operator="equal">
      <formula>"Mayor"</formula>
    </cfRule>
    <cfRule type="cellIs" dxfId="402" priority="514" operator="equal">
      <formula>"Moderado"</formula>
    </cfRule>
    <cfRule type="cellIs" dxfId="401" priority="515" operator="equal">
      <formula>"Menor"</formula>
    </cfRule>
    <cfRule type="cellIs" dxfId="400" priority="516" operator="equal">
      <formula>"Leve"</formula>
    </cfRule>
  </conditionalFormatting>
  <conditionalFormatting sqref="O51">
    <cfRule type="cellIs" dxfId="399" priority="508" operator="equal">
      <formula>"Extremo"</formula>
    </cfRule>
    <cfRule type="cellIs" dxfId="398" priority="509" operator="equal">
      <formula>"Alto"</formula>
    </cfRule>
    <cfRule type="cellIs" dxfId="397" priority="510" operator="equal">
      <formula>"Moderado"</formula>
    </cfRule>
    <cfRule type="cellIs" dxfId="396" priority="511" operator="equal">
      <formula>"Bajo"</formula>
    </cfRule>
  </conditionalFormatting>
  <conditionalFormatting sqref="I54">
    <cfRule type="cellIs" dxfId="395" priority="502" operator="equal">
      <formula>"Muy Alta"</formula>
    </cfRule>
    <cfRule type="cellIs" dxfId="394" priority="503" operator="equal">
      <formula>"Alta"</formula>
    </cfRule>
    <cfRule type="cellIs" dxfId="393" priority="504" operator="equal">
      <formula>"Media"</formula>
    </cfRule>
    <cfRule type="cellIs" dxfId="392" priority="505" operator="equal">
      <formula>"Baja"</formula>
    </cfRule>
    <cfRule type="cellIs" dxfId="391" priority="506" operator="equal">
      <formula>"Muy Baja"</formula>
    </cfRule>
  </conditionalFormatting>
  <conditionalFormatting sqref="M54">
    <cfRule type="cellIs" dxfId="390" priority="497" operator="equal">
      <formula>"Catastrófico"</formula>
    </cfRule>
    <cfRule type="cellIs" dxfId="389" priority="498" operator="equal">
      <formula>"Mayor"</formula>
    </cfRule>
    <cfRule type="cellIs" dxfId="388" priority="499" operator="equal">
      <formula>"Moderado"</formula>
    </cfRule>
    <cfRule type="cellIs" dxfId="387" priority="500" operator="equal">
      <formula>"Menor"</formula>
    </cfRule>
    <cfRule type="cellIs" dxfId="386" priority="501" operator="equal">
      <formula>"Leve"</formula>
    </cfRule>
  </conditionalFormatting>
  <conditionalFormatting sqref="O54">
    <cfRule type="cellIs" dxfId="385" priority="493" operator="equal">
      <formula>"Extremo"</formula>
    </cfRule>
    <cfRule type="cellIs" dxfId="384" priority="494" operator="equal">
      <formula>"Alto"</formula>
    </cfRule>
    <cfRule type="cellIs" dxfId="383" priority="495" operator="equal">
      <formula>"Moderado"</formula>
    </cfRule>
    <cfRule type="cellIs" dxfId="382" priority="496" operator="equal">
      <formula>"Bajo"</formula>
    </cfRule>
  </conditionalFormatting>
  <conditionalFormatting sqref="I57">
    <cfRule type="cellIs" dxfId="381" priority="487" operator="equal">
      <formula>"Muy Alta"</formula>
    </cfRule>
    <cfRule type="cellIs" dxfId="380" priority="488" operator="equal">
      <formula>"Alta"</formula>
    </cfRule>
    <cfRule type="cellIs" dxfId="379" priority="489" operator="equal">
      <formula>"Media"</formula>
    </cfRule>
    <cfRule type="cellIs" dxfId="378" priority="490" operator="equal">
      <formula>"Baja"</formula>
    </cfRule>
    <cfRule type="cellIs" dxfId="377" priority="491" operator="equal">
      <formula>"Muy Baja"</formula>
    </cfRule>
  </conditionalFormatting>
  <conditionalFormatting sqref="M57">
    <cfRule type="cellIs" dxfId="376" priority="482" operator="equal">
      <formula>"Catastrófico"</formula>
    </cfRule>
    <cfRule type="cellIs" dxfId="375" priority="483" operator="equal">
      <formula>"Mayor"</formula>
    </cfRule>
    <cfRule type="cellIs" dxfId="374" priority="484" operator="equal">
      <formula>"Moderado"</formula>
    </cfRule>
    <cfRule type="cellIs" dxfId="373" priority="485" operator="equal">
      <formula>"Menor"</formula>
    </cfRule>
    <cfRule type="cellIs" dxfId="372" priority="486" operator="equal">
      <formula>"Leve"</formula>
    </cfRule>
  </conditionalFormatting>
  <conditionalFormatting sqref="O57">
    <cfRule type="cellIs" dxfId="371" priority="478" operator="equal">
      <formula>"Extremo"</formula>
    </cfRule>
    <cfRule type="cellIs" dxfId="370" priority="479" operator="equal">
      <formula>"Alto"</formula>
    </cfRule>
    <cfRule type="cellIs" dxfId="369" priority="480" operator="equal">
      <formula>"Moderado"</formula>
    </cfRule>
    <cfRule type="cellIs" dxfId="368" priority="481" operator="equal">
      <formula>"Bajo"</formula>
    </cfRule>
  </conditionalFormatting>
  <conditionalFormatting sqref="I59">
    <cfRule type="cellIs" dxfId="367" priority="472" operator="equal">
      <formula>"Muy Alta"</formula>
    </cfRule>
    <cfRule type="cellIs" dxfId="366" priority="473" operator="equal">
      <formula>"Alta"</formula>
    </cfRule>
    <cfRule type="cellIs" dxfId="365" priority="474" operator="equal">
      <formula>"Media"</formula>
    </cfRule>
    <cfRule type="cellIs" dxfId="364" priority="475" operator="equal">
      <formula>"Baja"</formula>
    </cfRule>
    <cfRule type="cellIs" dxfId="363" priority="476" operator="equal">
      <formula>"Muy Baja"</formula>
    </cfRule>
  </conditionalFormatting>
  <conditionalFormatting sqref="M59">
    <cfRule type="cellIs" dxfId="362" priority="467" operator="equal">
      <formula>"Catastrófico"</formula>
    </cfRule>
    <cfRule type="cellIs" dxfId="361" priority="468" operator="equal">
      <formula>"Mayor"</formula>
    </cfRule>
    <cfRule type="cellIs" dxfId="360" priority="469" operator="equal">
      <formula>"Moderado"</formula>
    </cfRule>
    <cfRule type="cellIs" dxfId="359" priority="470" operator="equal">
      <formula>"Menor"</formula>
    </cfRule>
    <cfRule type="cellIs" dxfId="358" priority="471" operator="equal">
      <formula>"Leve"</formula>
    </cfRule>
  </conditionalFormatting>
  <conditionalFormatting sqref="O59">
    <cfRule type="cellIs" dxfId="357" priority="463" operator="equal">
      <formula>"Extremo"</formula>
    </cfRule>
    <cfRule type="cellIs" dxfId="356" priority="464" operator="equal">
      <formula>"Alto"</formula>
    </cfRule>
    <cfRule type="cellIs" dxfId="355" priority="465" operator="equal">
      <formula>"Moderado"</formula>
    </cfRule>
    <cfRule type="cellIs" dxfId="354" priority="466" operator="equal">
      <formula>"Bajo"</formula>
    </cfRule>
  </conditionalFormatting>
  <conditionalFormatting sqref="I63">
    <cfRule type="cellIs" dxfId="353" priority="442" operator="equal">
      <formula>"Muy Alta"</formula>
    </cfRule>
    <cfRule type="cellIs" dxfId="352" priority="443" operator="equal">
      <formula>"Alta"</formula>
    </cfRule>
    <cfRule type="cellIs" dxfId="351" priority="444" operator="equal">
      <formula>"Media"</formula>
    </cfRule>
    <cfRule type="cellIs" dxfId="350" priority="445" operator="equal">
      <formula>"Baja"</formula>
    </cfRule>
    <cfRule type="cellIs" dxfId="349" priority="446" operator="equal">
      <formula>"Muy Baja"</formula>
    </cfRule>
  </conditionalFormatting>
  <conditionalFormatting sqref="M63">
    <cfRule type="cellIs" dxfId="348" priority="437" operator="equal">
      <formula>"Catastrófico"</formula>
    </cfRule>
    <cfRule type="cellIs" dxfId="347" priority="438" operator="equal">
      <formula>"Mayor"</formula>
    </cfRule>
    <cfRule type="cellIs" dxfId="346" priority="439" operator="equal">
      <formula>"Moderado"</formula>
    </cfRule>
    <cfRule type="cellIs" dxfId="345" priority="440" operator="equal">
      <formula>"Menor"</formula>
    </cfRule>
    <cfRule type="cellIs" dxfId="344" priority="441" operator="equal">
      <formula>"Leve"</formula>
    </cfRule>
  </conditionalFormatting>
  <conditionalFormatting sqref="O63">
    <cfRule type="cellIs" dxfId="343" priority="433" operator="equal">
      <formula>"Extremo"</formula>
    </cfRule>
    <cfRule type="cellIs" dxfId="342" priority="434" operator="equal">
      <formula>"Alto"</formula>
    </cfRule>
    <cfRule type="cellIs" dxfId="341" priority="435" operator="equal">
      <formula>"Moderado"</formula>
    </cfRule>
    <cfRule type="cellIs" dxfId="340" priority="436" operator="equal">
      <formula>"Bajo"</formula>
    </cfRule>
  </conditionalFormatting>
  <conditionalFormatting sqref="I69 I71 I75 I78">
    <cfRule type="cellIs" dxfId="339" priority="427" operator="equal">
      <formula>"Muy Alta"</formula>
    </cfRule>
    <cfRule type="cellIs" dxfId="338" priority="428" operator="equal">
      <formula>"Alta"</formula>
    </cfRule>
    <cfRule type="cellIs" dxfId="337" priority="429" operator="equal">
      <formula>"Media"</formula>
    </cfRule>
    <cfRule type="cellIs" dxfId="336" priority="430" operator="equal">
      <formula>"Baja"</formula>
    </cfRule>
    <cfRule type="cellIs" dxfId="335" priority="431" operator="equal">
      <formula>"Muy Baja"</formula>
    </cfRule>
  </conditionalFormatting>
  <conditionalFormatting sqref="M69 M71 M75 M78">
    <cfRule type="cellIs" dxfId="334" priority="422" operator="equal">
      <formula>"Catastrófico"</formula>
    </cfRule>
    <cfRule type="cellIs" dxfId="333" priority="423" operator="equal">
      <formula>"Mayor"</formula>
    </cfRule>
    <cfRule type="cellIs" dxfId="332" priority="424" operator="equal">
      <formula>"Moderado"</formula>
    </cfRule>
    <cfRule type="cellIs" dxfId="331" priority="425" operator="equal">
      <formula>"Menor"</formula>
    </cfRule>
    <cfRule type="cellIs" dxfId="330" priority="426" operator="equal">
      <formula>"Leve"</formula>
    </cfRule>
  </conditionalFormatting>
  <conditionalFormatting sqref="O69">
    <cfRule type="cellIs" dxfId="329" priority="418" operator="equal">
      <formula>"Extremo"</formula>
    </cfRule>
    <cfRule type="cellIs" dxfId="328" priority="419" operator="equal">
      <formula>"Alto"</formula>
    </cfRule>
    <cfRule type="cellIs" dxfId="327" priority="420" operator="equal">
      <formula>"Moderado"</formula>
    </cfRule>
    <cfRule type="cellIs" dxfId="326" priority="421" operator="equal">
      <formula>"Bajo"</formula>
    </cfRule>
  </conditionalFormatting>
  <conditionalFormatting sqref="O71">
    <cfRule type="cellIs" dxfId="325" priority="400" operator="equal">
      <formula>"Extremo"</formula>
    </cfRule>
    <cfRule type="cellIs" dxfId="324" priority="401" operator="equal">
      <formula>"Alto"</formula>
    </cfRule>
    <cfRule type="cellIs" dxfId="323" priority="402" operator="equal">
      <formula>"Moderado"</formula>
    </cfRule>
    <cfRule type="cellIs" dxfId="322" priority="403" operator="equal">
      <formula>"Bajo"</formula>
    </cfRule>
  </conditionalFormatting>
  <conditionalFormatting sqref="O75">
    <cfRule type="cellIs" dxfId="321" priority="382" operator="equal">
      <formula>"Extremo"</formula>
    </cfRule>
    <cfRule type="cellIs" dxfId="320" priority="383" operator="equal">
      <formula>"Alto"</formula>
    </cfRule>
    <cfRule type="cellIs" dxfId="319" priority="384" operator="equal">
      <formula>"Moderado"</formula>
    </cfRule>
    <cfRule type="cellIs" dxfId="318" priority="385" operator="equal">
      <formula>"Bajo"</formula>
    </cfRule>
  </conditionalFormatting>
  <conditionalFormatting sqref="O78">
    <cfRule type="cellIs" dxfId="317" priority="364" operator="equal">
      <formula>"Extremo"</formula>
    </cfRule>
    <cfRule type="cellIs" dxfId="316" priority="365" operator="equal">
      <formula>"Alto"</formula>
    </cfRule>
    <cfRule type="cellIs" dxfId="315" priority="366" operator="equal">
      <formula>"Moderado"</formula>
    </cfRule>
    <cfRule type="cellIs" dxfId="314" priority="367" operator="equal">
      <formula>"Bajo"</formula>
    </cfRule>
  </conditionalFormatting>
  <conditionalFormatting sqref="Z78:Z82">
    <cfRule type="cellIs" dxfId="313" priority="359" operator="equal">
      <formula>"Muy Alta"</formula>
    </cfRule>
    <cfRule type="cellIs" dxfId="312" priority="360" operator="equal">
      <formula>"Alta"</formula>
    </cfRule>
    <cfRule type="cellIs" dxfId="311" priority="361" operator="equal">
      <formula>"Media"</formula>
    </cfRule>
    <cfRule type="cellIs" dxfId="310" priority="362" operator="equal">
      <formula>"Baja"</formula>
    </cfRule>
    <cfRule type="cellIs" dxfId="309" priority="363" operator="equal">
      <formula>"Muy Baja"</formula>
    </cfRule>
  </conditionalFormatting>
  <conditionalFormatting sqref="AB78:AB82">
    <cfRule type="cellIs" dxfId="308" priority="354" operator="equal">
      <formula>"Catastrófico"</formula>
    </cfRule>
    <cfRule type="cellIs" dxfId="307" priority="355" operator="equal">
      <formula>"Mayor"</formula>
    </cfRule>
    <cfRule type="cellIs" dxfId="306" priority="356" operator="equal">
      <formula>"Moderado"</formula>
    </cfRule>
    <cfRule type="cellIs" dxfId="305" priority="357" operator="equal">
      <formula>"Menor"</formula>
    </cfRule>
    <cfRule type="cellIs" dxfId="304" priority="358" operator="equal">
      <formula>"Leve"</formula>
    </cfRule>
  </conditionalFormatting>
  <conditionalFormatting sqref="AD78:AD82">
    <cfRule type="cellIs" dxfId="303" priority="350" operator="equal">
      <formula>"Extremo"</formula>
    </cfRule>
    <cfRule type="cellIs" dxfId="302" priority="351" operator="equal">
      <formula>"Alto"</formula>
    </cfRule>
    <cfRule type="cellIs" dxfId="301" priority="352" operator="equal">
      <formula>"Moderado"</formula>
    </cfRule>
    <cfRule type="cellIs" dxfId="300" priority="353" operator="equal">
      <formula>"Bajo"</formula>
    </cfRule>
  </conditionalFormatting>
  <conditionalFormatting sqref="Z86:Z91">
    <cfRule type="cellIs" dxfId="299" priority="330" operator="equal">
      <formula>"Muy Alta"</formula>
    </cfRule>
    <cfRule type="cellIs" dxfId="298" priority="331" operator="equal">
      <formula>"Alta"</formula>
    </cfRule>
    <cfRule type="cellIs" dxfId="297" priority="332" operator="equal">
      <formula>"Media"</formula>
    </cfRule>
    <cfRule type="cellIs" dxfId="296" priority="333" operator="equal">
      <formula>"Baja"</formula>
    </cfRule>
    <cfRule type="cellIs" dxfId="295" priority="334" operator="equal">
      <formula>"Muy Baja"</formula>
    </cfRule>
  </conditionalFormatting>
  <conditionalFormatting sqref="AB86:AB91">
    <cfRule type="cellIs" dxfId="294" priority="325" operator="equal">
      <formula>"Catastrófico"</formula>
    </cfRule>
    <cfRule type="cellIs" dxfId="293" priority="326" operator="equal">
      <formula>"Mayor"</formula>
    </cfRule>
    <cfRule type="cellIs" dxfId="292" priority="327" operator="equal">
      <formula>"Moderado"</formula>
    </cfRule>
    <cfRule type="cellIs" dxfId="291" priority="328" operator="equal">
      <formula>"Menor"</formula>
    </cfRule>
    <cfRule type="cellIs" dxfId="290" priority="329" operator="equal">
      <formula>"Leve"</formula>
    </cfRule>
  </conditionalFormatting>
  <conditionalFormatting sqref="AD86:AD91">
    <cfRule type="cellIs" dxfId="289" priority="321" operator="equal">
      <formula>"Extremo"</formula>
    </cfRule>
    <cfRule type="cellIs" dxfId="288" priority="322" operator="equal">
      <formula>"Alto"</formula>
    </cfRule>
    <cfRule type="cellIs" dxfId="287" priority="323" operator="equal">
      <formula>"Moderado"</formula>
    </cfRule>
    <cfRule type="cellIs" dxfId="286" priority="324" operator="equal">
      <formula>"Bajo"</formula>
    </cfRule>
  </conditionalFormatting>
  <conditionalFormatting sqref="Z92:Z97">
    <cfRule type="cellIs" dxfId="285" priority="316" operator="equal">
      <formula>"Muy Alta"</formula>
    </cfRule>
    <cfRule type="cellIs" dxfId="284" priority="317" operator="equal">
      <formula>"Alta"</formula>
    </cfRule>
    <cfRule type="cellIs" dxfId="283" priority="318" operator="equal">
      <formula>"Media"</formula>
    </cfRule>
    <cfRule type="cellIs" dxfId="282" priority="319" operator="equal">
      <formula>"Baja"</formula>
    </cfRule>
    <cfRule type="cellIs" dxfId="281" priority="320" operator="equal">
      <formula>"Muy Baja"</formula>
    </cfRule>
  </conditionalFormatting>
  <conditionalFormatting sqref="AB92:AB97">
    <cfRule type="cellIs" dxfId="280" priority="311" operator="equal">
      <formula>"Catastrófico"</formula>
    </cfRule>
    <cfRule type="cellIs" dxfId="279" priority="312" operator="equal">
      <formula>"Mayor"</formula>
    </cfRule>
    <cfRule type="cellIs" dxfId="278" priority="313" operator="equal">
      <formula>"Moderado"</formula>
    </cfRule>
    <cfRule type="cellIs" dxfId="277" priority="314" operator="equal">
      <formula>"Menor"</formula>
    </cfRule>
    <cfRule type="cellIs" dxfId="276" priority="315" operator="equal">
      <formula>"Leve"</formula>
    </cfRule>
  </conditionalFormatting>
  <conditionalFormatting sqref="AD92:AD97">
    <cfRule type="cellIs" dxfId="275" priority="307" operator="equal">
      <formula>"Extremo"</formula>
    </cfRule>
    <cfRule type="cellIs" dxfId="274" priority="308" operator="equal">
      <formula>"Alto"</formula>
    </cfRule>
    <cfRule type="cellIs" dxfId="273" priority="309" operator="equal">
      <formula>"Moderado"</formula>
    </cfRule>
    <cfRule type="cellIs" dxfId="272" priority="310" operator="equal">
      <formula>"Bajo"</formula>
    </cfRule>
  </conditionalFormatting>
  <conditionalFormatting sqref="L86:L91">
    <cfRule type="containsText" dxfId="271" priority="277" operator="containsText" text="❌">
      <formula>NOT(ISERROR(SEARCH("❌",L86)))</formula>
    </cfRule>
  </conditionalFormatting>
  <conditionalFormatting sqref="I83">
    <cfRule type="cellIs" dxfId="270" priority="302" operator="equal">
      <formula>"Muy Alta"</formula>
    </cfRule>
    <cfRule type="cellIs" dxfId="269" priority="303" operator="equal">
      <formula>"Alta"</formula>
    </cfRule>
    <cfRule type="cellIs" dxfId="268" priority="304" operator="equal">
      <formula>"Media"</formula>
    </cfRule>
    <cfRule type="cellIs" dxfId="267" priority="305" operator="equal">
      <formula>"Baja"</formula>
    </cfRule>
    <cfRule type="cellIs" dxfId="266" priority="306" operator="equal">
      <formula>"Muy Baja"</formula>
    </cfRule>
  </conditionalFormatting>
  <conditionalFormatting sqref="M83">
    <cfRule type="cellIs" dxfId="265" priority="297" operator="equal">
      <formula>"Catastrófico"</formula>
    </cfRule>
    <cfRule type="cellIs" dxfId="264" priority="298" operator="equal">
      <formula>"Mayor"</formula>
    </cfRule>
    <cfRule type="cellIs" dxfId="263" priority="299" operator="equal">
      <formula>"Moderado"</formula>
    </cfRule>
    <cfRule type="cellIs" dxfId="262" priority="300" operator="equal">
      <formula>"Menor"</formula>
    </cfRule>
    <cfRule type="cellIs" dxfId="261" priority="301" operator="equal">
      <formula>"Leve"</formula>
    </cfRule>
  </conditionalFormatting>
  <conditionalFormatting sqref="O83">
    <cfRule type="cellIs" dxfId="260" priority="293" operator="equal">
      <formula>"Extremo"</formula>
    </cfRule>
    <cfRule type="cellIs" dxfId="259" priority="294" operator="equal">
      <formula>"Alto"</formula>
    </cfRule>
    <cfRule type="cellIs" dxfId="258" priority="295" operator="equal">
      <formula>"Moderado"</formula>
    </cfRule>
    <cfRule type="cellIs" dxfId="257" priority="296" operator="equal">
      <formula>"Bajo"</formula>
    </cfRule>
  </conditionalFormatting>
  <conditionalFormatting sqref="I86">
    <cfRule type="cellIs" dxfId="256" priority="287" operator="equal">
      <formula>"Muy Alta"</formula>
    </cfRule>
    <cfRule type="cellIs" dxfId="255" priority="288" operator="equal">
      <formula>"Alta"</formula>
    </cfRule>
    <cfRule type="cellIs" dxfId="254" priority="289" operator="equal">
      <formula>"Media"</formula>
    </cfRule>
    <cfRule type="cellIs" dxfId="253" priority="290" operator="equal">
      <formula>"Baja"</formula>
    </cfRule>
    <cfRule type="cellIs" dxfId="252" priority="291" operator="equal">
      <formula>"Muy Baja"</formula>
    </cfRule>
  </conditionalFormatting>
  <conditionalFormatting sqref="M86">
    <cfRule type="cellIs" dxfId="251" priority="282" operator="equal">
      <formula>"Catastrófico"</formula>
    </cfRule>
    <cfRule type="cellIs" dxfId="250" priority="283" operator="equal">
      <formula>"Mayor"</formula>
    </cfRule>
    <cfRule type="cellIs" dxfId="249" priority="284" operator="equal">
      <formula>"Moderado"</formula>
    </cfRule>
    <cfRule type="cellIs" dxfId="248" priority="285" operator="equal">
      <formula>"Menor"</formula>
    </cfRule>
    <cfRule type="cellIs" dxfId="247" priority="286" operator="equal">
      <formula>"Leve"</formula>
    </cfRule>
  </conditionalFormatting>
  <conditionalFormatting sqref="O86">
    <cfRule type="cellIs" dxfId="246" priority="278" operator="equal">
      <formula>"Extremo"</formula>
    </cfRule>
    <cfRule type="cellIs" dxfId="245" priority="279" operator="equal">
      <formula>"Alto"</formula>
    </cfRule>
    <cfRule type="cellIs" dxfId="244" priority="280" operator="equal">
      <formula>"Moderado"</formula>
    </cfRule>
    <cfRule type="cellIs" dxfId="243" priority="281" operator="equal">
      <formula>"Bajo"</formula>
    </cfRule>
  </conditionalFormatting>
  <conditionalFormatting sqref="I92">
    <cfRule type="cellIs" dxfId="242" priority="272" operator="equal">
      <formula>"Muy Alta"</formula>
    </cfRule>
    <cfRule type="cellIs" dxfId="241" priority="273" operator="equal">
      <formula>"Alta"</formula>
    </cfRule>
    <cfRule type="cellIs" dxfId="240" priority="274" operator="equal">
      <formula>"Media"</formula>
    </cfRule>
    <cfRule type="cellIs" dxfId="239" priority="275" operator="equal">
      <formula>"Baja"</formula>
    </cfRule>
    <cfRule type="cellIs" dxfId="238" priority="276" operator="equal">
      <formula>"Muy Baja"</formula>
    </cfRule>
  </conditionalFormatting>
  <conditionalFormatting sqref="M92">
    <cfRule type="cellIs" dxfId="237" priority="267" operator="equal">
      <formula>"Catastrófico"</formula>
    </cfRule>
    <cfRule type="cellIs" dxfId="236" priority="268" operator="equal">
      <formula>"Mayor"</formula>
    </cfRule>
    <cfRule type="cellIs" dxfId="235" priority="269" operator="equal">
      <formula>"Moderado"</formula>
    </cfRule>
    <cfRule type="cellIs" dxfId="234" priority="270" operator="equal">
      <formula>"Menor"</formula>
    </cfRule>
    <cfRule type="cellIs" dxfId="233" priority="271" operator="equal">
      <formula>"Leve"</formula>
    </cfRule>
  </conditionalFormatting>
  <conditionalFormatting sqref="O92">
    <cfRule type="cellIs" dxfId="232" priority="263" operator="equal">
      <formula>"Extremo"</formula>
    </cfRule>
    <cfRule type="cellIs" dxfId="231" priority="264" operator="equal">
      <formula>"Alto"</formula>
    </cfRule>
    <cfRule type="cellIs" dxfId="230" priority="265" operator="equal">
      <formula>"Moderado"</formula>
    </cfRule>
    <cfRule type="cellIs" dxfId="229" priority="266" operator="equal">
      <formula>"Bajo"</formula>
    </cfRule>
  </conditionalFormatting>
  <conditionalFormatting sqref="L92:L97">
    <cfRule type="containsText" dxfId="228" priority="262" operator="containsText" text="❌">
      <formula>NOT(ISERROR(SEARCH("❌",L92)))</formula>
    </cfRule>
  </conditionalFormatting>
  <conditionalFormatting sqref="I31">
    <cfRule type="cellIs" dxfId="227" priority="257" operator="equal">
      <formula>"Muy Alta"</formula>
    </cfRule>
    <cfRule type="cellIs" dxfId="226" priority="258" operator="equal">
      <formula>"Alta"</formula>
    </cfRule>
    <cfRule type="cellIs" dxfId="225" priority="259" operator="equal">
      <formula>"Media"</formula>
    </cfRule>
    <cfRule type="cellIs" dxfId="224" priority="260" operator="equal">
      <formula>"Baja"</formula>
    </cfRule>
    <cfRule type="cellIs" dxfId="223" priority="261" operator="equal">
      <formula>"Muy Baja"</formula>
    </cfRule>
  </conditionalFormatting>
  <conditionalFormatting sqref="M31">
    <cfRule type="cellIs" dxfId="222" priority="252" operator="equal">
      <formula>"Catastrófico"</formula>
    </cfRule>
    <cfRule type="cellIs" dxfId="221" priority="253" operator="equal">
      <formula>"Mayor"</formula>
    </cfRule>
    <cfRule type="cellIs" dxfId="220" priority="254" operator="equal">
      <formula>"Moderado"</formula>
    </cfRule>
    <cfRule type="cellIs" dxfId="219" priority="255" operator="equal">
      <formula>"Menor"</formula>
    </cfRule>
    <cfRule type="cellIs" dxfId="218" priority="256" operator="equal">
      <formula>"Leve"</formula>
    </cfRule>
  </conditionalFormatting>
  <conditionalFormatting sqref="O31">
    <cfRule type="cellIs" dxfId="217" priority="248" operator="equal">
      <formula>"Extremo"</formula>
    </cfRule>
    <cfRule type="cellIs" dxfId="216" priority="249" operator="equal">
      <formula>"Alto"</formula>
    </cfRule>
    <cfRule type="cellIs" dxfId="215" priority="250" operator="equal">
      <formula>"Moderado"</formula>
    </cfRule>
    <cfRule type="cellIs" dxfId="214" priority="251" operator="equal">
      <formula>"Bajo"</formula>
    </cfRule>
  </conditionalFormatting>
  <conditionalFormatting sqref="I26">
    <cfRule type="cellIs" dxfId="213" priority="242" operator="equal">
      <formula>"Muy Alta"</formula>
    </cfRule>
    <cfRule type="cellIs" dxfId="212" priority="243" operator="equal">
      <formula>"Alta"</formula>
    </cfRule>
    <cfRule type="cellIs" dxfId="211" priority="244" operator="equal">
      <formula>"Media"</formula>
    </cfRule>
    <cfRule type="cellIs" dxfId="210" priority="245" operator="equal">
      <formula>"Baja"</formula>
    </cfRule>
    <cfRule type="cellIs" dxfId="209" priority="246" operator="equal">
      <formula>"Muy Baja"</formula>
    </cfRule>
  </conditionalFormatting>
  <conditionalFormatting sqref="M26">
    <cfRule type="cellIs" dxfId="208" priority="237" operator="equal">
      <formula>"Catastrófico"</formula>
    </cfRule>
    <cfRule type="cellIs" dxfId="207" priority="238" operator="equal">
      <formula>"Mayor"</formula>
    </cfRule>
    <cfRule type="cellIs" dxfId="206" priority="239" operator="equal">
      <formula>"Moderado"</formula>
    </cfRule>
    <cfRule type="cellIs" dxfId="205" priority="240" operator="equal">
      <formula>"Menor"</formula>
    </cfRule>
    <cfRule type="cellIs" dxfId="204" priority="241" operator="equal">
      <formula>"Leve"</formula>
    </cfRule>
  </conditionalFormatting>
  <conditionalFormatting sqref="O26">
    <cfRule type="cellIs" dxfId="203" priority="233" operator="equal">
      <formula>"Extremo"</formula>
    </cfRule>
    <cfRule type="cellIs" dxfId="202" priority="234" operator="equal">
      <formula>"Alto"</formula>
    </cfRule>
    <cfRule type="cellIs" dxfId="201" priority="235" operator="equal">
      <formula>"Moderado"</formula>
    </cfRule>
    <cfRule type="cellIs" dxfId="200" priority="236" operator="equal">
      <formula>"Bajo"</formula>
    </cfRule>
  </conditionalFormatting>
  <conditionalFormatting sqref="L26:L30">
    <cfRule type="containsText" dxfId="199" priority="232" operator="containsText" text="❌">
      <formula>NOT(ISERROR(SEARCH("❌",L26)))</formula>
    </cfRule>
  </conditionalFormatting>
  <conditionalFormatting sqref="I34">
    <cfRule type="cellIs" dxfId="198" priority="227" operator="equal">
      <formula>"Muy Alta"</formula>
    </cfRule>
    <cfRule type="cellIs" dxfId="197" priority="228" operator="equal">
      <formula>"Alta"</formula>
    </cfRule>
    <cfRule type="cellIs" dxfId="196" priority="229" operator="equal">
      <formula>"Media"</formula>
    </cfRule>
    <cfRule type="cellIs" dxfId="195" priority="230" operator="equal">
      <formula>"Baja"</formula>
    </cfRule>
    <cfRule type="cellIs" dxfId="194" priority="231" operator="equal">
      <formula>"Muy Baja"</formula>
    </cfRule>
  </conditionalFormatting>
  <conditionalFormatting sqref="M34">
    <cfRule type="cellIs" dxfId="193" priority="222" operator="equal">
      <formula>"Catastrófico"</formula>
    </cfRule>
    <cfRule type="cellIs" dxfId="192" priority="223" operator="equal">
      <formula>"Mayor"</formula>
    </cfRule>
    <cfRule type="cellIs" dxfId="191" priority="224" operator="equal">
      <formula>"Moderado"</formula>
    </cfRule>
    <cfRule type="cellIs" dxfId="190" priority="225" operator="equal">
      <formula>"Menor"</formula>
    </cfRule>
    <cfRule type="cellIs" dxfId="189" priority="226" operator="equal">
      <formula>"Leve"</formula>
    </cfRule>
  </conditionalFormatting>
  <conditionalFormatting sqref="O34">
    <cfRule type="cellIs" dxfId="188" priority="218" operator="equal">
      <formula>"Extremo"</formula>
    </cfRule>
    <cfRule type="cellIs" dxfId="187" priority="219" operator="equal">
      <formula>"Alto"</formula>
    </cfRule>
    <cfRule type="cellIs" dxfId="186" priority="220" operator="equal">
      <formula>"Moderado"</formula>
    </cfRule>
    <cfRule type="cellIs" dxfId="185" priority="221" operator="equal">
      <formula>"Bajo"</formula>
    </cfRule>
  </conditionalFormatting>
  <conditionalFormatting sqref="L34">
    <cfRule type="containsText" dxfId="184" priority="217" operator="containsText" text="❌">
      <formula>NOT(ISERROR(SEARCH("❌",L34)))</formula>
    </cfRule>
  </conditionalFormatting>
  <conditionalFormatting sqref="I98">
    <cfRule type="cellIs" dxfId="183" priority="212" operator="equal">
      <formula>"Muy Alta"</formula>
    </cfRule>
    <cfRule type="cellIs" dxfId="182" priority="213" operator="equal">
      <formula>"Alta"</formula>
    </cfRule>
    <cfRule type="cellIs" dxfId="181" priority="214" operator="equal">
      <formula>"Media"</formula>
    </cfRule>
    <cfRule type="cellIs" dxfId="180" priority="215" operator="equal">
      <formula>"Baja"</formula>
    </cfRule>
    <cfRule type="cellIs" dxfId="179" priority="216" operator="equal">
      <formula>"Muy Baja"</formula>
    </cfRule>
  </conditionalFormatting>
  <conditionalFormatting sqref="M98">
    <cfRule type="cellIs" dxfId="178" priority="207" operator="equal">
      <formula>"Catastrófico"</formula>
    </cfRule>
    <cfRule type="cellIs" dxfId="177" priority="208" operator="equal">
      <formula>"Mayor"</formula>
    </cfRule>
    <cfRule type="cellIs" dxfId="176" priority="209" operator="equal">
      <formula>"Moderado"</formula>
    </cfRule>
    <cfRule type="cellIs" dxfId="175" priority="210" operator="equal">
      <formula>"Menor"</formula>
    </cfRule>
    <cfRule type="cellIs" dxfId="174" priority="211" operator="equal">
      <formula>"Leve"</formula>
    </cfRule>
  </conditionalFormatting>
  <conditionalFormatting sqref="O98">
    <cfRule type="cellIs" dxfId="173" priority="203" operator="equal">
      <formula>"Extremo"</formula>
    </cfRule>
    <cfRule type="cellIs" dxfId="172" priority="204" operator="equal">
      <formula>"Alto"</formula>
    </cfRule>
    <cfRule type="cellIs" dxfId="171" priority="205" operator="equal">
      <formula>"Moderado"</formula>
    </cfRule>
    <cfRule type="cellIs" dxfId="170" priority="206" operator="equal">
      <formula>"Bajo"</formula>
    </cfRule>
  </conditionalFormatting>
  <conditionalFormatting sqref="L98:L103">
    <cfRule type="containsText" dxfId="169" priority="202" operator="containsText" text="❌">
      <formula>NOT(ISERROR(SEARCH("❌",L98)))</formula>
    </cfRule>
  </conditionalFormatting>
  <conditionalFormatting sqref="I110">
    <cfRule type="cellIs" dxfId="168" priority="197" operator="equal">
      <formula>"Muy Alta"</formula>
    </cfRule>
    <cfRule type="cellIs" dxfId="167" priority="198" operator="equal">
      <formula>"Alta"</formula>
    </cfRule>
    <cfRule type="cellIs" dxfId="166" priority="199" operator="equal">
      <formula>"Media"</formula>
    </cfRule>
    <cfRule type="cellIs" dxfId="165" priority="200" operator="equal">
      <formula>"Baja"</formula>
    </cfRule>
    <cfRule type="cellIs" dxfId="164" priority="201" operator="equal">
      <formula>"Muy Baja"</formula>
    </cfRule>
  </conditionalFormatting>
  <conditionalFormatting sqref="M110">
    <cfRule type="cellIs" dxfId="163" priority="192" operator="equal">
      <formula>"Catastrófico"</formula>
    </cfRule>
    <cfRule type="cellIs" dxfId="162" priority="193" operator="equal">
      <formula>"Mayor"</formula>
    </cfRule>
    <cfRule type="cellIs" dxfId="161" priority="194" operator="equal">
      <formula>"Moderado"</formula>
    </cfRule>
    <cfRule type="cellIs" dxfId="160" priority="195" operator="equal">
      <formula>"Menor"</formula>
    </cfRule>
    <cfRule type="cellIs" dxfId="159" priority="196" operator="equal">
      <formula>"Leve"</formula>
    </cfRule>
  </conditionalFormatting>
  <conditionalFormatting sqref="O110">
    <cfRule type="cellIs" dxfId="158" priority="188" operator="equal">
      <formula>"Extremo"</formula>
    </cfRule>
    <cfRule type="cellIs" dxfId="157" priority="189" operator="equal">
      <formula>"Alto"</formula>
    </cfRule>
    <cfRule type="cellIs" dxfId="156" priority="190" operator="equal">
      <formula>"Moderado"</formula>
    </cfRule>
    <cfRule type="cellIs" dxfId="155" priority="191" operator="equal">
      <formula>"Bajo"</formula>
    </cfRule>
  </conditionalFormatting>
  <conditionalFormatting sqref="I104">
    <cfRule type="cellIs" dxfId="154" priority="182" operator="equal">
      <formula>"Muy Alta"</formula>
    </cfRule>
    <cfRule type="cellIs" dxfId="153" priority="183" operator="equal">
      <formula>"Alta"</formula>
    </cfRule>
    <cfRule type="cellIs" dxfId="152" priority="184" operator="equal">
      <formula>"Media"</formula>
    </cfRule>
    <cfRule type="cellIs" dxfId="151" priority="185" operator="equal">
      <formula>"Baja"</formula>
    </cfRule>
    <cfRule type="cellIs" dxfId="150" priority="186" operator="equal">
      <formula>"Muy Baja"</formula>
    </cfRule>
  </conditionalFormatting>
  <conditionalFormatting sqref="M104">
    <cfRule type="cellIs" dxfId="149" priority="177" operator="equal">
      <formula>"Catastrófico"</formula>
    </cfRule>
    <cfRule type="cellIs" dxfId="148" priority="178" operator="equal">
      <formula>"Mayor"</formula>
    </cfRule>
    <cfRule type="cellIs" dxfId="147" priority="179" operator="equal">
      <formula>"Moderado"</formula>
    </cfRule>
    <cfRule type="cellIs" dxfId="146" priority="180" operator="equal">
      <formula>"Menor"</formula>
    </cfRule>
    <cfRule type="cellIs" dxfId="145" priority="181" operator="equal">
      <formula>"Leve"</formula>
    </cfRule>
  </conditionalFormatting>
  <conditionalFormatting sqref="O104">
    <cfRule type="cellIs" dxfId="144" priority="173" operator="equal">
      <formula>"Extremo"</formula>
    </cfRule>
    <cfRule type="cellIs" dxfId="143" priority="174" operator="equal">
      <formula>"Alto"</formula>
    </cfRule>
    <cfRule type="cellIs" dxfId="142" priority="175" operator="equal">
      <formula>"Moderado"</formula>
    </cfRule>
    <cfRule type="cellIs" dxfId="141" priority="176" operator="equal">
      <formula>"Bajo"</formula>
    </cfRule>
  </conditionalFormatting>
  <conditionalFormatting sqref="L104:L109">
    <cfRule type="containsText" dxfId="140" priority="172" operator="containsText" text="❌">
      <formula>NOT(ISERROR(SEARCH("❌",L104)))</formula>
    </cfRule>
  </conditionalFormatting>
  <conditionalFormatting sqref="I112">
    <cfRule type="cellIs" dxfId="139" priority="167" operator="equal">
      <formula>"Muy Alta"</formula>
    </cfRule>
    <cfRule type="cellIs" dxfId="138" priority="168" operator="equal">
      <formula>"Alta"</formula>
    </cfRule>
    <cfRule type="cellIs" dxfId="137" priority="169" operator="equal">
      <formula>"Media"</formula>
    </cfRule>
    <cfRule type="cellIs" dxfId="136" priority="170" operator="equal">
      <formula>"Baja"</formula>
    </cfRule>
    <cfRule type="cellIs" dxfId="135" priority="171" operator="equal">
      <formula>"Muy Baja"</formula>
    </cfRule>
  </conditionalFormatting>
  <conditionalFormatting sqref="M112">
    <cfRule type="cellIs" dxfId="134" priority="162" operator="equal">
      <formula>"Catastrófico"</formula>
    </cfRule>
    <cfRule type="cellIs" dxfId="133" priority="163" operator="equal">
      <formula>"Mayor"</formula>
    </cfRule>
    <cfRule type="cellIs" dxfId="132" priority="164" operator="equal">
      <formula>"Moderado"</formula>
    </cfRule>
    <cfRule type="cellIs" dxfId="131" priority="165" operator="equal">
      <formula>"Menor"</formula>
    </cfRule>
    <cfRule type="cellIs" dxfId="130" priority="166" operator="equal">
      <formula>"Leve"</formula>
    </cfRule>
  </conditionalFormatting>
  <conditionalFormatting sqref="O112">
    <cfRule type="cellIs" dxfId="129" priority="158" operator="equal">
      <formula>"Extremo"</formula>
    </cfRule>
    <cfRule type="cellIs" dxfId="128" priority="159" operator="equal">
      <formula>"Alto"</formula>
    </cfRule>
    <cfRule type="cellIs" dxfId="127" priority="160" operator="equal">
      <formula>"Moderado"</formula>
    </cfRule>
    <cfRule type="cellIs" dxfId="126" priority="161" operator="equal">
      <formula>"Bajo"</formula>
    </cfRule>
  </conditionalFormatting>
  <conditionalFormatting sqref="Z26">
    <cfRule type="cellIs" dxfId="125" priority="152" operator="equal">
      <formula>"Muy Alta"</formula>
    </cfRule>
    <cfRule type="cellIs" dxfId="124" priority="153" operator="equal">
      <formula>"Alta"</formula>
    </cfRule>
    <cfRule type="cellIs" dxfId="123" priority="154" operator="equal">
      <formula>"Media"</formula>
    </cfRule>
    <cfRule type="cellIs" dxfId="122" priority="155" operator="equal">
      <formula>"Baja"</formula>
    </cfRule>
    <cfRule type="cellIs" dxfId="121" priority="156" operator="equal">
      <formula>"Muy Baja"</formula>
    </cfRule>
  </conditionalFormatting>
  <conditionalFormatting sqref="AB26">
    <cfRule type="cellIs" dxfId="120" priority="147" operator="equal">
      <formula>"Catastrófico"</formula>
    </cfRule>
    <cfRule type="cellIs" dxfId="119" priority="148" operator="equal">
      <formula>"Mayor"</formula>
    </cfRule>
    <cfRule type="cellIs" dxfId="118" priority="149" operator="equal">
      <formula>"Moderado"</formula>
    </cfRule>
    <cfRule type="cellIs" dxfId="117" priority="150" operator="equal">
      <formula>"Menor"</formula>
    </cfRule>
    <cfRule type="cellIs" dxfId="116" priority="151" operator="equal">
      <formula>"Leve"</formula>
    </cfRule>
  </conditionalFormatting>
  <conditionalFormatting sqref="AD26">
    <cfRule type="cellIs" dxfId="115" priority="143" operator="equal">
      <formula>"Extremo"</formula>
    </cfRule>
    <cfRule type="cellIs" dxfId="114" priority="144" operator="equal">
      <formula>"Alto"</formula>
    </cfRule>
    <cfRule type="cellIs" dxfId="113" priority="145" operator="equal">
      <formula>"Moderado"</formula>
    </cfRule>
    <cfRule type="cellIs" dxfId="112" priority="146" operator="equal">
      <formula>"Bajo"</formula>
    </cfRule>
  </conditionalFormatting>
  <conditionalFormatting sqref="AB118:AB120">
    <cfRule type="cellIs" dxfId="111" priority="133" operator="equal">
      <formula>"Catastrófico"</formula>
    </cfRule>
    <cfRule type="cellIs" dxfId="110" priority="134" operator="equal">
      <formula>"Mayor"</formula>
    </cfRule>
    <cfRule type="cellIs" dxfId="109" priority="135" operator="equal">
      <formula>"Moderado"</formula>
    </cfRule>
    <cfRule type="cellIs" dxfId="108" priority="136" operator="equal">
      <formula>"Menor"</formula>
    </cfRule>
    <cfRule type="cellIs" dxfId="107" priority="137" operator="equal">
      <formula>"Leve"</formula>
    </cfRule>
  </conditionalFormatting>
  <conditionalFormatting sqref="AD115:AD120">
    <cfRule type="cellIs" dxfId="106" priority="129" operator="equal">
      <formula>"Extremo"</formula>
    </cfRule>
    <cfRule type="cellIs" dxfId="105" priority="130" operator="equal">
      <formula>"Alto"</formula>
    </cfRule>
    <cfRule type="cellIs" dxfId="104" priority="131" operator="equal">
      <formula>"Moderado"</formula>
    </cfRule>
    <cfRule type="cellIs" dxfId="103" priority="132" operator="equal">
      <formula>"Bajo"</formula>
    </cfRule>
  </conditionalFormatting>
  <conditionalFormatting sqref="I115">
    <cfRule type="cellIs" dxfId="102" priority="109" operator="equal">
      <formula>"Muy Alta"</formula>
    </cfRule>
    <cfRule type="cellIs" dxfId="101" priority="110" operator="equal">
      <formula>"Alta"</formula>
    </cfRule>
    <cfRule type="cellIs" dxfId="100" priority="111" operator="equal">
      <formula>"Media"</formula>
    </cfRule>
    <cfRule type="cellIs" dxfId="99" priority="112" operator="equal">
      <formula>"Baja"</formula>
    </cfRule>
    <cfRule type="cellIs" dxfId="98" priority="113" operator="equal">
      <formula>"Muy Baja"</formula>
    </cfRule>
  </conditionalFormatting>
  <conditionalFormatting sqref="M115">
    <cfRule type="cellIs" dxfId="97" priority="104" operator="equal">
      <formula>"Catastrófico"</formula>
    </cfRule>
    <cfRule type="cellIs" dxfId="96" priority="105" operator="equal">
      <formula>"Mayor"</formula>
    </cfRule>
    <cfRule type="cellIs" dxfId="95" priority="106" operator="equal">
      <formula>"Moderado"</formula>
    </cfRule>
    <cfRule type="cellIs" dxfId="94" priority="107" operator="equal">
      <formula>"Menor"</formula>
    </cfRule>
    <cfRule type="cellIs" dxfId="93" priority="108" operator="equal">
      <formula>"Leve"</formula>
    </cfRule>
  </conditionalFormatting>
  <conditionalFormatting sqref="O115">
    <cfRule type="cellIs" dxfId="92" priority="100" operator="equal">
      <formula>"Extremo"</formula>
    </cfRule>
    <cfRule type="cellIs" dxfId="91" priority="101" operator="equal">
      <formula>"Alto"</formula>
    </cfRule>
    <cfRule type="cellIs" dxfId="90" priority="102" operator="equal">
      <formula>"Moderado"</formula>
    </cfRule>
    <cfRule type="cellIs" dxfId="89" priority="103" operator="equal">
      <formula>"Bajo"</formula>
    </cfRule>
  </conditionalFormatting>
  <conditionalFormatting sqref="L115:L120">
    <cfRule type="containsText" dxfId="88" priority="99" operator="containsText" text="❌">
      <formula>NOT(ISERROR(SEARCH("❌",L115)))</formula>
    </cfRule>
  </conditionalFormatting>
  <conditionalFormatting sqref="Z121:Z129">
    <cfRule type="cellIs" dxfId="87" priority="80" operator="equal">
      <formula>"Muy Alta"</formula>
    </cfRule>
    <cfRule type="cellIs" dxfId="86" priority="81" operator="equal">
      <formula>"Alta"</formula>
    </cfRule>
    <cfRule type="cellIs" dxfId="85" priority="82" operator="equal">
      <formula>"Media"</formula>
    </cfRule>
    <cfRule type="cellIs" dxfId="84" priority="83" operator="equal">
      <formula>"Baja"</formula>
    </cfRule>
    <cfRule type="cellIs" dxfId="83" priority="84" operator="equal">
      <formula>"Muy Baja"</formula>
    </cfRule>
  </conditionalFormatting>
  <conditionalFormatting sqref="AB121:AB129">
    <cfRule type="cellIs" dxfId="82" priority="75" operator="equal">
      <formula>"Catastrófico"</formula>
    </cfRule>
    <cfRule type="cellIs" dxfId="81" priority="76" operator="equal">
      <formula>"Mayor"</formula>
    </cfRule>
    <cfRule type="cellIs" dxfId="80" priority="77" operator="equal">
      <formula>"Moderado"</formula>
    </cfRule>
    <cfRule type="cellIs" dxfId="79" priority="78" operator="equal">
      <formula>"Menor"</formula>
    </cfRule>
    <cfRule type="cellIs" dxfId="78" priority="79" operator="equal">
      <formula>"Leve"</formula>
    </cfRule>
  </conditionalFormatting>
  <conditionalFormatting sqref="AD121:AD129">
    <cfRule type="cellIs" dxfId="77" priority="71" operator="equal">
      <formula>"Extremo"</formula>
    </cfRule>
    <cfRule type="cellIs" dxfId="76" priority="72" operator="equal">
      <formula>"Alto"</formula>
    </cfRule>
    <cfRule type="cellIs" dxfId="75" priority="73" operator="equal">
      <formula>"Moderado"</formula>
    </cfRule>
    <cfRule type="cellIs" dxfId="74" priority="74" operator="equal">
      <formula>"Bajo"</formula>
    </cfRule>
  </conditionalFormatting>
  <conditionalFormatting sqref="L121:L134">
    <cfRule type="containsText" dxfId="73" priority="70" operator="containsText" text="❌">
      <formula>NOT(ISERROR(SEARCH("❌",L121)))</formula>
    </cfRule>
  </conditionalFormatting>
  <conditionalFormatting sqref="I121 I123 I127 I130">
    <cfRule type="cellIs" dxfId="72" priority="65" operator="equal">
      <formula>"Muy Alta"</formula>
    </cfRule>
    <cfRule type="cellIs" dxfId="71" priority="66" operator="equal">
      <formula>"Alta"</formula>
    </cfRule>
    <cfRule type="cellIs" dxfId="70" priority="67" operator="equal">
      <formula>"Media"</formula>
    </cfRule>
    <cfRule type="cellIs" dxfId="69" priority="68" operator="equal">
      <formula>"Baja"</formula>
    </cfRule>
    <cfRule type="cellIs" dxfId="68" priority="69" operator="equal">
      <formula>"Muy Baja"</formula>
    </cfRule>
  </conditionalFormatting>
  <conditionalFormatting sqref="M121 M123 M127 M130">
    <cfRule type="cellIs" dxfId="67" priority="60" operator="equal">
      <formula>"Catastrófico"</formula>
    </cfRule>
    <cfRule type="cellIs" dxfId="66" priority="61" operator="equal">
      <formula>"Mayor"</formula>
    </cfRule>
    <cfRule type="cellIs" dxfId="65" priority="62" operator="equal">
      <formula>"Moderado"</formula>
    </cfRule>
    <cfRule type="cellIs" dxfId="64" priority="63" operator="equal">
      <formula>"Menor"</formula>
    </cfRule>
    <cfRule type="cellIs" dxfId="63" priority="64" operator="equal">
      <formula>"Leve"</formula>
    </cfRule>
  </conditionalFormatting>
  <conditionalFormatting sqref="O121">
    <cfRule type="cellIs" dxfId="62" priority="56" operator="equal">
      <formula>"Extremo"</formula>
    </cfRule>
    <cfRule type="cellIs" dxfId="61" priority="57" operator="equal">
      <formula>"Alto"</formula>
    </cfRule>
    <cfRule type="cellIs" dxfId="60" priority="58" operator="equal">
      <formula>"Moderado"</formula>
    </cfRule>
    <cfRule type="cellIs" dxfId="59" priority="59" operator="equal">
      <formula>"Bajo"</formula>
    </cfRule>
  </conditionalFormatting>
  <conditionalFormatting sqref="O123">
    <cfRule type="cellIs" dxfId="58" priority="52" operator="equal">
      <formula>"Extremo"</formula>
    </cfRule>
    <cfRule type="cellIs" dxfId="57" priority="53" operator="equal">
      <formula>"Alto"</formula>
    </cfRule>
    <cfRule type="cellIs" dxfId="56" priority="54" operator="equal">
      <formula>"Moderado"</formula>
    </cfRule>
    <cfRule type="cellIs" dxfId="55" priority="55" operator="equal">
      <formula>"Bajo"</formula>
    </cfRule>
  </conditionalFormatting>
  <conditionalFormatting sqref="O127">
    <cfRule type="cellIs" dxfId="54" priority="48" operator="equal">
      <formula>"Extremo"</formula>
    </cfRule>
    <cfRule type="cellIs" dxfId="53" priority="49" operator="equal">
      <formula>"Alto"</formula>
    </cfRule>
    <cfRule type="cellIs" dxfId="52" priority="50" operator="equal">
      <formula>"Moderado"</formula>
    </cfRule>
    <cfRule type="cellIs" dxfId="51" priority="51" operator="equal">
      <formula>"Bajo"</formula>
    </cfRule>
  </conditionalFormatting>
  <conditionalFormatting sqref="O130">
    <cfRule type="cellIs" dxfId="50" priority="44" operator="equal">
      <formula>"Extremo"</formula>
    </cfRule>
    <cfRule type="cellIs" dxfId="49" priority="45" operator="equal">
      <formula>"Alto"</formula>
    </cfRule>
    <cfRule type="cellIs" dxfId="48" priority="46" operator="equal">
      <formula>"Moderado"</formula>
    </cfRule>
    <cfRule type="cellIs" dxfId="47" priority="47" operator="equal">
      <formula>"Bajo"</formula>
    </cfRule>
  </conditionalFormatting>
  <conditionalFormatting sqref="Z130:Z134">
    <cfRule type="cellIs" dxfId="46" priority="39" operator="equal">
      <formula>"Muy Alta"</formula>
    </cfRule>
    <cfRule type="cellIs" dxfId="45" priority="40" operator="equal">
      <formula>"Alta"</formula>
    </cfRule>
    <cfRule type="cellIs" dxfId="44" priority="41" operator="equal">
      <formula>"Media"</formula>
    </cfRule>
    <cfRule type="cellIs" dxfId="43" priority="42" operator="equal">
      <formula>"Baja"</formula>
    </cfRule>
    <cfRule type="cellIs" dxfId="42" priority="43" operator="equal">
      <formula>"Muy Baja"</formula>
    </cfRule>
  </conditionalFormatting>
  <conditionalFormatting sqref="AB130:AB134">
    <cfRule type="cellIs" dxfId="41" priority="34" operator="equal">
      <formula>"Catastrófico"</formula>
    </cfRule>
    <cfRule type="cellIs" dxfId="40" priority="35" operator="equal">
      <formula>"Mayor"</formula>
    </cfRule>
    <cfRule type="cellIs" dxfId="39" priority="36" operator="equal">
      <formula>"Moderado"</formula>
    </cfRule>
    <cfRule type="cellIs" dxfId="38" priority="37" operator="equal">
      <formula>"Menor"</formula>
    </cfRule>
    <cfRule type="cellIs" dxfId="37" priority="38" operator="equal">
      <formula>"Leve"</formula>
    </cfRule>
  </conditionalFormatting>
  <conditionalFormatting sqref="AD130:AD134">
    <cfRule type="cellIs" dxfId="36" priority="30" operator="equal">
      <formula>"Extremo"</formula>
    </cfRule>
    <cfRule type="cellIs" dxfId="35" priority="31" operator="equal">
      <formula>"Alto"</formula>
    </cfRule>
    <cfRule type="cellIs" dxfId="34" priority="32" operator="equal">
      <formula>"Moderado"</formula>
    </cfRule>
    <cfRule type="cellIs" dxfId="33" priority="33" operator="equal">
      <formula>"Bajo"</formula>
    </cfRule>
  </conditionalFormatting>
  <conditionalFormatting sqref="L135:L139">
    <cfRule type="containsText" dxfId="32" priority="29" operator="containsText" text="❌">
      <formula>NOT(ISERROR(SEARCH("❌",L135)))</formula>
    </cfRule>
  </conditionalFormatting>
  <conditionalFormatting sqref="I135">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M135">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O135">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Z135:Z139">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B135:AB139">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D135:AD139">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ignoredErrors>
    <ignoredError sqref="AC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AK10:AK11 AK13:AK14 AK95:AK96 AK17:AK18 AK20:AK22 AK112:AK113 AK89:AK90 AK92:AK93 AK24:AK26 AK35:AK55 AK57:AK67 AK69:AK87 AK121:AK139</xm:sqref>
        </x14:dataValidation>
        <x14:dataValidation type="list" allowBlank="1" showInputMessage="1" showErrorMessage="1" xr:uid="{00000000-0002-0000-0100-000001000000}">
          <x14:formula1>
            <xm:f>'Opciones Tratamiento'!$E$2:$E$4</xm:f>
          </x14:formula1>
          <xm:sqref>C110 C104 C10:C98 C112:C115 C121:C139</xm:sqref>
        </x14:dataValidation>
        <x14:dataValidation type="custom" allowBlank="1" showInputMessage="1" showErrorMessage="1" error="Recuerde que las acciones se generan bajo la medida de mitigar el riesgo" xr:uid="{00000000-0002-0000-0100-000002000000}">
          <x14:formula1>
            <xm:f>IF(OR(AE10='Opciones Tratamiento'!$B$2,AE10='Opciones Tratamiento'!$B$3,AE10='Opciones Tratamiento'!$B$4),ISBLANK(AE10),ISTEXT(AE10))</xm:f>
          </x14:formula1>
          <xm:sqref>AI46:AI50 AI59 AH10:AH139</xm:sqref>
        </x14:dataValidation>
        <x14:dataValidation type="custom" allowBlank="1" showInputMessage="1" showErrorMessage="1" error="Recuerde que las acciones se generan bajo la medida de mitigar el riesgo" xr:uid="{00000000-0002-0000-0100-000003000000}">
          <x14:formula1>
            <xm:f>IF(OR(AE10='Opciones Tratamiento'!$B$2,AE10='Opciones Tratamiento'!$B$3,AE10='Opciones Tratamiento'!$B$4),ISBLANK(AE10),ISTEXT(AE10))</xm:f>
          </x14:formula1>
          <xm:sqref>AJ62 AI69:AJ70 AI51:AI58 AI60:AI68 AI10:AI45 AI121:AJ122 AI71:AI120 AI123:AI139</xm:sqref>
        </x14:dataValidation>
        <x14:dataValidation type="custom" allowBlank="1" showInputMessage="1" showErrorMessage="1" error="Recuerde que las acciones se generan bajo la medida de mitigar el riesgo" xr:uid="{00000000-0002-0000-0100-000004000000}">
          <x14:formula1>
            <xm:f>IF(OR(AE10='Opciones Tratamiento'!$B$2,AE10='Opciones Tratamiento'!$B$3,AE10='Opciones Tratamiento'!$B$4),ISBLANK(AE10),ISTEXT(AE10))</xm:f>
          </x14:formula1>
          <xm:sqref>AJ63:AJ68 AJ10:AJ61 AJ71:AJ120 AJ123:AJ139</xm:sqref>
        </x14:dataValidation>
        <x14:dataValidation type="list" allowBlank="1" showInputMessage="1" showErrorMessage="1" xr:uid="{00000000-0002-0000-0100-000005000000}">
          <x14:formula1>
            <xm:f>'Tabla Valoración controles'!$D$4:$D$6</xm:f>
          </x14:formula1>
          <xm:sqref>S10:S139</xm:sqref>
        </x14:dataValidation>
        <x14:dataValidation type="list" allowBlank="1" showInputMessage="1" showErrorMessage="1" xr:uid="{00000000-0002-0000-0100-000006000000}">
          <x14:formula1>
            <xm:f>'Tabla Valoración controles'!$D$7:$D$8</xm:f>
          </x14:formula1>
          <xm:sqref>T10:T139</xm:sqref>
        </x14:dataValidation>
        <x14:dataValidation type="list" allowBlank="1" showInputMessage="1" showErrorMessage="1" xr:uid="{00000000-0002-0000-0100-000007000000}">
          <x14:formula1>
            <xm:f>'Tabla Valoración controles'!$D$9:$D$10</xm:f>
          </x14:formula1>
          <xm:sqref>V10:V139</xm:sqref>
        </x14:dataValidation>
        <x14:dataValidation type="list" allowBlank="1" showInputMessage="1" showErrorMessage="1" xr:uid="{00000000-0002-0000-0100-000008000000}">
          <x14:formula1>
            <xm:f>'Tabla Valoración controles'!$D$11:$D$12</xm:f>
          </x14:formula1>
          <xm:sqref>W10:W139</xm:sqref>
        </x14:dataValidation>
        <x14:dataValidation type="list" allowBlank="1" showInputMessage="1" showErrorMessage="1" xr:uid="{00000000-0002-0000-0100-000009000000}">
          <x14:formula1>
            <xm:f>'Tabla Valoración controles'!$D$13:$D$14</xm:f>
          </x14:formula1>
          <xm:sqref>X10:X139</xm:sqref>
        </x14:dataValidation>
        <x14:dataValidation type="list" allowBlank="1" showInputMessage="1" showErrorMessage="1" xr:uid="{00000000-0002-0000-0100-00000A000000}">
          <x14:formula1>
            <xm:f>'Opciones Tratamiento'!$B$13:$B$19</xm:f>
          </x14:formula1>
          <xm:sqref>G10:G139</xm:sqref>
        </x14:dataValidation>
        <x14:dataValidation type="list" allowBlank="1" showInputMessage="1" showErrorMessage="1" xr:uid="{00000000-0002-0000-0100-00000B000000}">
          <x14:formula1>
            <xm:f>'Opciones Tratamiento'!$B$2:$B$5</xm:f>
          </x14:formula1>
          <xm:sqref>AE10:AE139</xm:sqref>
        </x14:dataValidation>
        <x14:dataValidation type="list" allowBlank="1" showInputMessage="1" showErrorMessage="1" xr:uid="{00000000-0002-0000-0100-00000C000000}">
          <x14:formula1>
            <xm:f>'Tabla Impacto'!$F$210:$F$221</xm:f>
          </x14:formula1>
          <xm:sqref>K10:K139</xm:sqref>
        </x14:dataValidation>
        <x14:dataValidation type="custom" allowBlank="1" showInputMessage="1" showErrorMessage="1" error="Recuerde que las acciones se generan bajo la medida de mitigar el riesgo" xr:uid="{00000000-0002-0000-0100-00000D000000}">
          <x14:formula1>
            <xm:f>IF(OR(AE10='Opciones Tratamiento'!$B$2,AE10='Opciones Tratamiento'!$B$3,AE10='Opciones Tratamiento'!$B$4),ISBLANK(AE10),ISTEXT(AE10))</xm:f>
          </x14:formula1>
          <xm:sqref>AF10:AF139</xm:sqref>
        </x14:dataValidation>
        <x14:dataValidation type="custom" allowBlank="1" showInputMessage="1" showErrorMessage="1" error="Recuerde que las acciones se generan bajo la medida de mitigar el riesgo" xr:uid="{00000000-0002-0000-0100-00000E000000}">
          <x14:formula1>
            <xm:f>IF(OR(AE10='Opciones Tratamiento'!$B$2,AE10='Opciones Tratamiento'!$B$3,AE10='Opciones Tratamiento'!$B$4),ISBLANK(AE10),ISTEXT(AE10))</xm:f>
          </x14:formula1>
          <xm:sqref>AG10:AG139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AO14" sqref="AO14:AT21"/>
    </sheetView>
  </sheetViews>
  <sheetFormatPr baseColWidth="10" defaultRowHeight="15" x14ac:dyDescent="0.25"/>
  <cols>
    <col min="2" max="39" width="5.7109375" customWidth="1"/>
    <col min="41" max="46" width="5.710937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400" t="s">
        <v>160</v>
      </c>
      <c r="C2" s="400"/>
      <c r="D2" s="400"/>
      <c r="E2" s="400"/>
      <c r="F2" s="400"/>
      <c r="G2" s="400"/>
      <c r="H2" s="400"/>
      <c r="I2" s="400"/>
      <c r="J2" s="368" t="s">
        <v>2</v>
      </c>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400"/>
      <c r="C3" s="400"/>
      <c r="D3" s="400"/>
      <c r="E3" s="400"/>
      <c r="F3" s="400"/>
      <c r="G3" s="400"/>
      <c r="H3" s="400"/>
      <c r="I3" s="400"/>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400"/>
      <c r="C4" s="400"/>
      <c r="D4" s="400"/>
      <c r="E4" s="400"/>
      <c r="F4" s="400"/>
      <c r="G4" s="400"/>
      <c r="H4" s="400"/>
      <c r="I4" s="400"/>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315" t="s">
        <v>4</v>
      </c>
      <c r="C6" s="315"/>
      <c r="D6" s="316"/>
      <c r="E6" s="353" t="s">
        <v>115</v>
      </c>
      <c r="F6" s="354"/>
      <c r="G6" s="354"/>
      <c r="H6" s="354"/>
      <c r="I6" s="355"/>
      <c r="J6" s="364" t="str">
        <f>IF(AND('Mapa final'!$I$10="Muy Alta",'Mapa final'!$M$10="Leve"),CONCATENATE("R",'Mapa final'!$A$10),"")</f>
        <v/>
      </c>
      <c r="K6" s="365"/>
      <c r="L6" s="365" t="str">
        <f>IF(AND('Mapa final'!$I$13="Muy Alta",'Mapa final'!$M$13="Leve"),CONCATENATE("R",'Mapa final'!$A$13),"")</f>
        <v/>
      </c>
      <c r="M6" s="365"/>
      <c r="N6" s="365" t="str">
        <f>IF(AND('Mapa final'!$I$17="Muy Alta",'Mapa final'!$M$17="Leve"),CONCATENATE("R",'Mapa final'!$A$17),"")</f>
        <v/>
      </c>
      <c r="O6" s="367"/>
      <c r="P6" s="364" t="str">
        <f>IF(AND('Mapa final'!$I$10="Muy Alta",'Mapa final'!$M$10="Menor"),CONCATENATE("R",'Mapa final'!$A$10),"")</f>
        <v/>
      </c>
      <c r="Q6" s="365"/>
      <c r="R6" s="365" t="str">
        <f>IF(AND('Mapa final'!$I$13="Muy Alta",'Mapa final'!$M$13="Menor"),CONCATENATE("R",'Mapa final'!$A$13),"")</f>
        <v/>
      </c>
      <c r="S6" s="365"/>
      <c r="T6" s="365" t="str">
        <f>IF(AND('Mapa final'!$I$17="Muy Alta",'Mapa final'!$M$17="Menor"),CONCATENATE("R",'Mapa final'!$A$17),"")</f>
        <v/>
      </c>
      <c r="U6" s="367"/>
      <c r="V6" s="364" t="str">
        <f>IF(AND('Mapa final'!$I$10="Muy Alta",'Mapa final'!$M$10="Moderado"),CONCATENATE("R",'Mapa final'!$A$10),"")</f>
        <v/>
      </c>
      <c r="W6" s="365"/>
      <c r="X6" s="365" t="str">
        <f>IF(AND('Mapa final'!$I$13="Muy Alta",'Mapa final'!$M$13="Moderado"),CONCATENATE("R",'Mapa final'!$A$13),"")</f>
        <v/>
      </c>
      <c r="Y6" s="365"/>
      <c r="Z6" s="365" t="str">
        <f>IF(AND('Mapa final'!$I$17="Muy Alta",'Mapa final'!$M$17="Moderado"),CONCATENATE("R",'Mapa final'!$A$17),"")</f>
        <v/>
      </c>
      <c r="AA6" s="367"/>
      <c r="AB6" s="364" t="str">
        <f>IF(AND('Mapa final'!$I$10="Muy Alta",'Mapa final'!$M$10="Mayor"),CONCATENATE("R",'Mapa final'!$A$10),"")</f>
        <v/>
      </c>
      <c r="AC6" s="365"/>
      <c r="AD6" s="365" t="str">
        <f>IF(AND('Mapa final'!$I$13="Muy Alta",'Mapa final'!$M$13="Mayor"),CONCATENATE("R",'Mapa final'!$A$13),"")</f>
        <v/>
      </c>
      <c r="AE6" s="365"/>
      <c r="AF6" s="365" t="str">
        <f>IF(AND('Mapa final'!$I$17="Muy Alta",'Mapa final'!$M$17="Mayor"),CONCATENATE("R",'Mapa final'!$A$17),"")</f>
        <v/>
      </c>
      <c r="AG6" s="367"/>
      <c r="AH6" s="379" t="str">
        <f>IF(AND('Mapa final'!$I$10="Muy Alta",'Mapa final'!$M$10="Catastrófico"),CONCATENATE("R",'Mapa final'!$A$10),"")</f>
        <v/>
      </c>
      <c r="AI6" s="380"/>
      <c r="AJ6" s="380" t="str">
        <f>IF(AND('Mapa final'!$I$13="Muy Alta",'Mapa final'!$M$13="Catastrófico"),CONCATENATE("R",'Mapa final'!$A$13),"")</f>
        <v/>
      </c>
      <c r="AK6" s="380"/>
      <c r="AL6" s="380" t="str">
        <f>IF(AND('Mapa final'!$I$17="Muy Alta",'Mapa final'!$M$17="Catastrófico"),CONCATENATE("R",'Mapa final'!$A$17),"")</f>
        <v/>
      </c>
      <c r="AM6" s="381"/>
      <c r="AO6" s="317" t="s">
        <v>78</v>
      </c>
      <c r="AP6" s="318"/>
      <c r="AQ6" s="318"/>
      <c r="AR6" s="318"/>
      <c r="AS6" s="318"/>
      <c r="AT6" s="319"/>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315"/>
      <c r="C7" s="315"/>
      <c r="D7" s="316"/>
      <c r="E7" s="356"/>
      <c r="F7" s="357"/>
      <c r="G7" s="357"/>
      <c r="H7" s="357"/>
      <c r="I7" s="358"/>
      <c r="J7" s="366"/>
      <c r="K7" s="362"/>
      <c r="L7" s="362"/>
      <c r="M7" s="362"/>
      <c r="N7" s="362"/>
      <c r="O7" s="363"/>
      <c r="P7" s="366"/>
      <c r="Q7" s="362"/>
      <c r="R7" s="362"/>
      <c r="S7" s="362"/>
      <c r="T7" s="362"/>
      <c r="U7" s="363"/>
      <c r="V7" s="366"/>
      <c r="W7" s="362"/>
      <c r="X7" s="362"/>
      <c r="Y7" s="362"/>
      <c r="Z7" s="362"/>
      <c r="AA7" s="363"/>
      <c r="AB7" s="366"/>
      <c r="AC7" s="362"/>
      <c r="AD7" s="362"/>
      <c r="AE7" s="362"/>
      <c r="AF7" s="362"/>
      <c r="AG7" s="363"/>
      <c r="AH7" s="373"/>
      <c r="AI7" s="374"/>
      <c r="AJ7" s="374"/>
      <c r="AK7" s="374"/>
      <c r="AL7" s="374"/>
      <c r="AM7" s="375"/>
      <c r="AN7" s="82"/>
      <c r="AO7" s="320"/>
      <c r="AP7" s="321"/>
      <c r="AQ7" s="321"/>
      <c r="AR7" s="321"/>
      <c r="AS7" s="321"/>
      <c r="AT7" s="32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315"/>
      <c r="C8" s="315"/>
      <c r="D8" s="316"/>
      <c r="E8" s="356"/>
      <c r="F8" s="357"/>
      <c r="G8" s="357"/>
      <c r="H8" s="357"/>
      <c r="I8" s="358"/>
      <c r="J8" s="366" t="str">
        <f>IF(AND('Mapa final'!$I$20="Muy Alta",'Mapa final'!$M$20="Leve"),CONCATENATE("R",'Mapa final'!$A$20),"")</f>
        <v/>
      </c>
      <c r="K8" s="362"/>
      <c r="L8" s="362" t="str">
        <f>IF(AND('Mapa final'!$I$21="Muy Alta",'Mapa final'!$M$21="Leve"),CONCATENATE("R",'Mapa final'!$A$21),"")</f>
        <v/>
      </c>
      <c r="M8" s="362"/>
      <c r="N8" s="362" t="str">
        <f>IF(AND('Mapa final'!$I$35="Muy Alta",'Mapa final'!$M$35="Leve"),CONCATENATE("R",'Mapa final'!$A$35),"")</f>
        <v/>
      </c>
      <c r="O8" s="363"/>
      <c r="P8" s="366" t="str">
        <f>IF(AND('Mapa final'!$I$20="Muy Alta",'Mapa final'!$M$20="Menor"),CONCATENATE("R",'Mapa final'!$A$20),"")</f>
        <v/>
      </c>
      <c r="Q8" s="362"/>
      <c r="R8" s="362" t="str">
        <f>IF(AND('Mapa final'!$I$21="Muy Alta",'Mapa final'!$M$21="Menor"),CONCATENATE("R",'Mapa final'!$A$21),"")</f>
        <v/>
      </c>
      <c r="S8" s="362"/>
      <c r="T8" s="362" t="str">
        <f>IF(AND('Mapa final'!$I$35="Muy Alta",'Mapa final'!$M$35="Menor"),CONCATENATE("R",'Mapa final'!$A$35),"")</f>
        <v/>
      </c>
      <c r="U8" s="363"/>
      <c r="V8" s="366" t="str">
        <f>IF(AND('Mapa final'!$I$20="Muy Alta",'Mapa final'!$M$20="Moderado"),CONCATENATE("R",'Mapa final'!$A$20),"")</f>
        <v/>
      </c>
      <c r="W8" s="362"/>
      <c r="X8" s="362" t="str">
        <f>IF(AND('Mapa final'!$I$21="Muy Alta",'Mapa final'!$M$21="Moderado"),CONCATENATE("R",'Mapa final'!$A$21),"")</f>
        <v/>
      </c>
      <c r="Y8" s="362"/>
      <c r="Z8" s="362" t="str">
        <f>IF(AND('Mapa final'!$I$35="Muy Alta",'Mapa final'!$M$35="Moderado"),CONCATENATE("R",'Mapa final'!$A$35),"")</f>
        <v/>
      </c>
      <c r="AA8" s="363"/>
      <c r="AB8" s="366" t="str">
        <f>IF(AND('Mapa final'!$I$20="Muy Alta",'Mapa final'!$M$20="Mayor"),CONCATENATE("R",'Mapa final'!$A$20),"")</f>
        <v/>
      </c>
      <c r="AC8" s="362"/>
      <c r="AD8" s="362" t="str">
        <f>IF(AND('Mapa final'!$I$21="Muy Alta",'Mapa final'!$M$21="Mayor"),CONCATENATE("R",'Mapa final'!$A$21),"")</f>
        <v/>
      </c>
      <c r="AE8" s="362"/>
      <c r="AF8" s="362" t="str">
        <f>IF(AND('Mapa final'!$I$35="Muy Alta",'Mapa final'!$M$35="Mayor"),CONCATENATE("R",'Mapa final'!$A$35),"")</f>
        <v/>
      </c>
      <c r="AG8" s="363"/>
      <c r="AH8" s="373" t="str">
        <f>IF(AND('Mapa final'!$I$20="Muy Alta",'Mapa final'!$M$20="Catastrófico"),CONCATENATE("R",'Mapa final'!$A$20),"")</f>
        <v/>
      </c>
      <c r="AI8" s="374"/>
      <c r="AJ8" s="374" t="str">
        <f>IF(AND('Mapa final'!$I$21="Muy Alta",'Mapa final'!$M$21="Catastrófico"),CONCATENATE("R",'Mapa final'!$A$21),"")</f>
        <v/>
      </c>
      <c r="AK8" s="374"/>
      <c r="AL8" s="374" t="str">
        <f>IF(AND('Mapa final'!$I$35="Muy Alta",'Mapa final'!$M$35="Catastrófico"),CONCATENATE("R",'Mapa final'!$A$35),"")</f>
        <v/>
      </c>
      <c r="AM8" s="375"/>
      <c r="AN8" s="82"/>
      <c r="AO8" s="320"/>
      <c r="AP8" s="321"/>
      <c r="AQ8" s="321"/>
      <c r="AR8" s="321"/>
      <c r="AS8" s="321"/>
      <c r="AT8" s="32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315"/>
      <c r="C9" s="315"/>
      <c r="D9" s="316"/>
      <c r="E9" s="356"/>
      <c r="F9" s="357"/>
      <c r="G9" s="357"/>
      <c r="H9" s="357"/>
      <c r="I9" s="358"/>
      <c r="J9" s="366"/>
      <c r="K9" s="362"/>
      <c r="L9" s="362"/>
      <c r="M9" s="362"/>
      <c r="N9" s="362"/>
      <c r="O9" s="363"/>
      <c r="P9" s="366"/>
      <c r="Q9" s="362"/>
      <c r="R9" s="362"/>
      <c r="S9" s="362"/>
      <c r="T9" s="362"/>
      <c r="U9" s="363"/>
      <c r="V9" s="366"/>
      <c r="W9" s="362"/>
      <c r="X9" s="362"/>
      <c r="Y9" s="362"/>
      <c r="Z9" s="362"/>
      <c r="AA9" s="363"/>
      <c r="AB9" s="366"/>
      <c r="AC9" s="362"/>
      <c r="AD9" s="362"/>
      <c r="AE9" s="362"/>
      <c r="AF9" s="362"/>
      <c r="AG9" s="363"/>
      <c r="AH9" s="373"/>
      <c r="AI9" s="374"/>
      <c r="AJ9" s="374"/>
      <c r="AK9" s="374"/>
      <c r="AL9" s="374"/>
      <c r="AM9" s="375"/>
      <c r="AN9" s="82"/>
      <c r="AO9" s="320"/>
      <c r="AP9" s="321"/>
      <c r="AQ9" s="321"/>
      <c r="AR9" s="321"/>
      <c r="AS9" s="321"/>
      <c r="AT9" s="32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315"/>
      <c r="C10" s="315"/>
      <c r="D10" s="316"/>
      <c r="E10" s="356"/>
      <c r="F10" s="357"/>
      <c r="G10" s="357"/>
      <c r="H10" s="357"/>
      <c r="I10" s="358"/>
      <c r="J10" s="366" t="str">
        <f>IF(AND('Mapa final'!$I$36="Muy Alta",'Mapa final'!$M$36="Leve"),CONCATENATE("R",'Mapa final'!$A$36),"")</f>
        <v/>
      </c>
      <c r="K10" s="362"/>
      <c r="L10" s="362" t="e">
        <f>IF(AND('Mapa final'!#REF!="Muy Alta",'Mapa final'!#REF!="Leve"),CONCATENATE("R",'Mapa final'!#REF!),"")</f>
        <v>#REF!</v>
      </c>
      <c r="M10" s="362"/>
      <c r="N10" s="362" t="str">
        <f>IF(AND('Mapa final'!$I$37="Muy Alta",'Mapa final'!$M$37="Leve"),CONCATENATE("R",'Mapa final'!$A$37),"")</f>
        <v/>
      </c>
      <c r="O10" s="363"/>
      <c r="P10" s="366" t="str">
        <f>IF(AND('Mapa final'!$I$36="Muy Alta",'Mapa final'!$M$36="Menor"),CONCATENATE("R",'Mapa final'!$A$36),"")</f>
        <v/>
      </c>
      <c r="Q10" s="362"/>
      <c r="R10" s="362" t="e">
        <f>IF(AND('Mapa final'!#REF!="Muy Alta",'Mapa final'!#REF!="Menor"),CONCATENATE("R",'Mapa final'!#REF!),"")</f>
        <v>#REF!</v>
      </c>
      <c r="S10" s="362"/>
      <c r="T10" s="362" t="str">
        <f>IF(AND('Mapa final'!$I$37="Muy Alta",'Mapa final'!$M$37="Menor"),CONCATENATE("R",'Mapa final'!$A$37),"")</f>
        <v/>
      </c>
      <c r="U10" s="363"/>
      <c r="V10" s="366" t="str">
        <f>IF(AND('Mapa final'!$I$36="Muy Alta",'Mapa final'!$M$36="Moderado"),CONCATENATE("R",'Mapa final'!$A$36),"")</f>
        <v/>
      </c>
      <c r="W10" s="362"/>
      <c r="X10" s="362" t="e">
        <f>IF(AND('Mapa final'!#REF!="Muy Alta",'Mapa final'!#REF!="Moderado"),CONCATENATE("R",'Mapa final'!#REF!),"")</f>
        <v>#REF!</v>
      </c>
      <c r="Y10" s="362"/>
      <c r="Z10" s="362" t="str">
        <f>IF(AND('Mapa final'!$I$37="Muy Alta",'Mapa final'!$M$37="Moderado"),CONCATENATE("R",'Mapa final'!$A$37),"")</f>
        <v/>
      </c>
      <c r="AA10" s="363"/>
      <c r="AB10" s="366" t="str">
        <f>IF(AND('Mapa final'!$I$36="Muy Alta",'Mapa final'!$M$36="Mayor"),CONCATENATE("R",'Mapa final'!$A$36),"")</f>
        <v/>
      </c>
      <c r="AC10" s="362"/>
      <c r="AD10" s="362" t="e">
        <f>IF(AND('Mapa final'!#REF!="Muy Alta",'Mapa final'!#REF!="Mayor"),CONCATENATE("R",'Mapa final'!#REF!),"")</f>
        <v>#REF!</v>
      </c>
      <c r="AE10" s="362"/>
      <c r="AF10" s="362" t="str">
        <f>IF(AND('Mapa final'!$I$37="Muy Alta",'Mapa final'!$M$37="Mayor"),CONCATENATE("R",'Mapa final'!$A$37),"")</f>
        <v/>
      </c>
      <c r="AG10" s="363"/>
      <c r="AH10" s="373" t="str">
        <f>IF(AND('Mapa final'!$I$36="Muy Alta",'Mapa final'!$M$36="Catastrófico"),CONCATENATE("R",'Mapa final'!$A$36),"")</f>
        <v/>
      </c>
      <c r="AI10" s="374"/>
      <c r="AJ10" s="374" t="e">
        <f>IF(AND('Mapa final'!#REF!="Muy Alta",'Mapa final'!#REF!="Catastrófico"),CONCATENATE("R",'Mapa final'!#REF!),"")</f>
        <v>#REF!</v>
      </c>
      <c r="AK10" s="374"/>
      <c r="AL10" s="374" t="str">
        <f>IF(AND('Mapa final'!$I$37="Muy Alta",'Mapa final'!$M$37="Catastrófico"),CONCATENATE("R",'Mapa final'!$A$37),"")</f>
        <v/>
      </c>
      <c r="AM10" s="375"/>
      <c r="AN10" s="82"/>
      <c r="AO10" s="320"/>
      <c r="AP10" s="321"/>
      <c r="AQ10" s="321"/>
      <c r="AR10" s="321"/>
      <c r="AS10" s="321"/>
      <c r="AT10" s="32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315"/>
      <c r="C11" s="315"/>
      <c r="D11" s="316"/>
      <c r="E11" s="356"/>
      <c r="F11" s="357"/>
      <c r="G11" s="357"/>
      <c r="H11" s="357"/>
      <c r="I11" s="358"/>
      <c r="J11" s="366"/>
      <c r="K11" s="362"/>
      <c r="L11" s="362"/>
      <c r="M11" s="362"/>
      <c r="N11" s="362"/>
      <c r="O11" s="363"/>
      <c r="P11" s="366"/>
      <c r="Q11" s="362"/>
      <c r="R11" s="362"/>
      <c r="S11" s="362"/>
      <c r="T11" s="362"/>
      <c r="U11" s="363"/>
      <c r="V11" s="366"/>
      <c r="W11" s="362"/>
      <c r="X11" s="362"/>
      <c r="Y11" s="362"/>
      <c r="Z11" s="362"/>
      <c r="AA11" s="363"/>
      <c r="AB11" s="366"/>
      <c r="AC11" s="362"/>
      <c r="AD11" s="362"/>
      <c r="AE11" s="362"/>
      <c r="AF11" s="362"/>
      <c r="AG11" s="363"/>
      <c r="AH11" s="373"/>
      <c r="AI11" s="374"/>
      <c r="AJ11" s="374"/>
      <c r="AK11" s="374"/>
      <c r="AL11" s="374"/>
      <c r="AM11" s="375"/>
      <c r="AN11" s="82"/>
      <c r="AO11" s="320"/>
      <c r="AP11" s="321"/>
      <c r="AQ11" s="321"/>
      <c r="AR11" s="321"/>
      <c r="AS11" s="321"/>
      <c r="AT11" s="32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315"/>
      <c r="C12" s="315"/>
      <c r="D12" s="316"/>
      <c r="E12" s="356"/>
      <c r="F12" s="357"/>
      <c r="G12" s="357"/>
      <c r="H12" s="357"/>
      <c r="I12" s="358"/>
      <c r="J12" s="366" t="str">
        <f>IF(AND('Mapa final'!$I$38="Muy Alta",'Mapa final'!$M$38="Leve"),CONCATENATE("R",'Mapa final'!$A$38),"")</f>
        <v/>
      </c>
      <c r="K12" s="362"/>
      <c r="L12" s="362" t="str">
        <f>IF(AND('Mapa final'!$I$140="Muy Alta",'Mapa final'!$M$140="Leve"),CONCATENATE("R",'Mapa final'!$A$135),"")</f>
        <v/>
      </c>
      <c r="M12" s="362"/>
      <c r="N12" s="362" t="e">
        <f>IF(AND('Mapa final'!#REF!="Muy Alta",'Mapa final'!#REF!="Leve"),CONCATENATE("R",'Mapa final'!#REF!),"")</f>
        <v>#REF!</v>
      </c>
      <c r="O12" s="363"/>
      <c r="P12" s="366" t="str">
        <f>IF(AND('Mapa final'!$I$38="Muy Alta",'Mapa final'!$M$38="Menor"),CONCATENATE("R",'Mapa final'!$A$38),"")</f>
        <v/>
      </c>
      <c r="Q12" s="362"/>
      <c r="R12" s="362" t="str">
        <f>IF(AND('Mapa final'!$I$140="Muy Alta",'Mapa final'!$M$140="Menor"),CONCATENATE("R",'Mapa final'!$A$135),"")</f>
        <v/>
      </c>
      <c r="S12" s="362"/>
      <c r="T12" s="362" t="e">
        <f>IF(AND('Mapa final'!#REF!="Muy Alta",'Mapa final'!#REF!="Menor"),CONCATENATE("R",'Mapa final'!#REF!),"")</f>
        <v>#REF!</v>
      </c>
      <c r="U12" s="363"/>
      <c r="V12" s="366" t="str">
        <f>IF(AND('Mapa final'!$I$38="Muy Alta",'Mapa final'!$M$38="Moderado"),CONCATENATE("R",'Mapa final'!$A$38),"")</f>
        <v/>
      </c>
      <c r="W12" s="362"/>
      <c r="X12" s="362" t="str">
        <f>IF(AND('Mapa final'!$I$140="Muy Alta",'Mapa final'!$M$140="Moderado"),CONCATENATE("R",'Mapa final'!$A$135),"")</f>
        <v/>
      </c>
      <c r="Y12" s="362"/>
      <c r="Z12" s="362" t="e">
        <f>IF(AND('Mapa final'!#REF!="Muy Alta",'Mapa final'!#REF!="Moderado"),CONCATENATE("R",'Mapa final'!#REF!),"")</f>
        <v>#REF!</v>
      </c>
      <c r="AA12" s="363"/>
      <c r="AB12" s="366" t="str">
        <f>IF(AND('Mapa final'!$I$38="Muy Alta",'Mapa final'!$M$38="Mayor"),CONCATENATE("R",'Mapa final'!$A$38),"")</f>
        <v/>
      </c>
      <c r="AC12" s="362"/>
      <c r="AD12" s="362" t="str">
        <f>IF(AND('Mapa final'!$I$140="Muy Alta",'Mapa final'!$M$140="Mayor"),CONCATENATE("R",'Mapa final'!$A$135),"")</f>
        <v/>
      </c>
      <c r="AE12" s="362"/>
      <c r="AF12" s="362" t="e">
        <f>IF(AND('Mapa final'!#REF!="Muy Alta",'Mapa final'!#REF!="Mayor"),CONCATENATE("R",'Mapa final'!#REF!),"")</f>
        <v>#REF!</v>
      </c>
      <c r="AG12" s="363"/>
      <c r="AH12" s="373" t="str">
        <f>IF(AND('Mapa final'!$I$38="Muy Alta",'Mapa final'!$M$38="Catastrófico"),CONCATENATE("R",'Mapa final'!$A$38),"")</f>
        <v/>
      </c>
      <c r="AI12" s="374"/>
      <c r="AJ12" s="374" t="str">
        <f>IF(AND('Mapa final'!$I$140="Muy Alta",'Mapa final'!$M$140="Catastrófico"),CONCATENATE("R",'Mapa final'!$A$135),"")</f>
        <v/>
      </c>
      <c r="AK12" s="374"/>
      <c r="AL12" s="374" t="e">
        <f>IF(AND('Mapa final'!#REF!="Muy Alta",'Mapa final'!#REF!="Catastrófico"),CONCATENATE("R",'Mapa final'!#REF!),"")</f>
        <v>#REF!</v>
      </c>
      <c r="AM12" s="375"/>
      <c r="AN12" s="82"/>
      <c r="AO12" s="320"/>
      <c r="AP12" s="321"/>
      <c r="AQ12" s="321"/>
      <c r="AR12" s="321"/>
      <c r="AS12" s="321"/>
      <c r="AT12" s="32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315"/>
      <c r="C13" s="315"/>
      <c r="D13" s="316"/>
      <c r="E13" s="359"/>
      <c r="F13" s="360"/>
      <c r="G13" s="360"/>
      <c r="H13" s="360"/>
      <c r="I13" s="361"/>
      <c r="J13" s="366"/>
      <c r="K13" s="362"/>
      <c r="L13" s="362"/>
      <c r="M13" s="362"/>
      <c r="N13" s="362"/>
      <c r="O13" s="363"/>
      <c r="P13" s="366"/>
      <c r="Q13" s="362"/>
      <c r="R13" s="362"/>
      <c r="S13" s="362"/>
      <c r="T13" s="362"/>
      <c r="U13" s="363"/>
      <c r="V13" s="366"/>
      <c r="W13" s="362"/>
      <c r="X13" s="362"/>
      <c r="Y13" s="362"/>
      <c r="Z13" s="362"/>
      <c r="AA13" s="363"/>
      <c r="AB13" s="366"/>
      <c r="AC13" s="362"/>
      <c r="AD13" s="362"/>
      <c r="AE13" s="362"/>
      <c r="AF13" s="362"/>
      <c r="AG13" s="363"/>
      <c r="AH13" s="376"/>
      <c r="AI13" s="377"/>
      <c r="AJ13" s="377"/>
      <c r="AK13" s="377"/>
      <c r="AL13" s="377"/>
      <c r="AM13" s="378"/>
      <c r="AN13" s="82"/>
      <c r="AO13" s="323"/>
      <c r="AP13" s="324"/>
      <c r="AQ13" s="324"/>
      <c r="AR13" s="324"/>
      <c r="AS13" s="324"/>
      <c r="AT13" s="325"/>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315"/>
      <c r="C14" s="315"/>
      <c r="D14" s="316"/>
      <c r="E14" s="353" t="s">
        <v>114</v>
      </c>
      <c r="F14" s="354"/>
      <c r="G14" s="354"/>
      <c r="H14" s="354"/>
      <c r="I14" s="354"/>
      <c r="J14" s="388" t="str">
        <f>IF(AND('Mapa final'!$I$10="Alta",'Mapa final'!$M$10="Leve"),CONCATENATE("R",'Mapa final'!$A$10),"")</f>
        <v/>
      </c>
      <c r="K14" s="389"/>
      <c r="L14" s="389" t="str">
        <f>IF(AND('Mapa final'!$I$13="Alta",'Mapa final'!$M$13="Leve"),CONCATENATE("R",'Mapa final'!$A$13),"")</f>
        <v/>
      </c>
      <c r="M14" s="389"/>
      <c r="N14" s="389" t="str">
        <f>IF(AND('Mapa final'!$I$17="Alta",'Mapa final'!$M$17="Leve"),CONCATENATE("R",'Mapa final'!$A$17),"")</f>
        <v/>
      </c>
      <c r="O14" s="390"/>
      <c r="P14" s="388" t="str">
        <f>IF(AND('Mapa final'!$I$10="Alta",'Mapa final'!$M$10="Menor"),CONCATENATE("R",'Mapa final'!$A$10),"")</f>
        <v/>
      </c>
      <c r="Q14" s="389"/>
      <c r="R14" s="389" t="str">
        <f>IF(AND('Mapa final'!$I$13="Alta",'Mapa final'!$M$13="Menor"),CONCATENATE("R",'Mapa final'!$A$13),"")</f>
        <v/>
      </c>
      <c r="S14" s="389"/>
      <c r="T14" s="389" t="str">
        <f>IF(AND('Mapa final'!$I$17="Alta",'Mapa final'!$M$17="Menor"),CONCATENATE("R",'Mapa final'!$A$17),"")</f>
        <v/>
      </c>
      <c r="U14" s="390"/>
      <c r="V14" s="364" t="str">
        <f>IF(AND('Mapa final'!$I$10="Alta",'Mapa final'!$M$10="Moderado"),CONCATENATE("R",'Mapa final'!$A$10),"")</f>
        <v/>
      </c>
      <c r="W14" s="365"/>
      <c r="X14" s="365" t="str">
        <f>IF(AND('Mapa final'!$I$13="Alta",'Mapa final'!$M$13="Moderado"),CONCATENATE("R",'Mapa final'!$A$13),"")</f>
        <v/>
      </c>
      <c r="Y14" s="365"/>
      <c r="Z14" s="365" t="str">
        <f>IF(AND('Mapa final'!$I$17="Alta",'Mapa final'!$M$17="Moderado"),CONCATENATE("R",'Mapa final'!$A$17),"")</f>
        <v/>
      </c>
      <c r="AA14" s="367"/>
      <c r="AB14" s="364" t="str">
        <f>IF(AND('Mapa final'!$I$10="Alta",'Mapa final'!$M$10="Mayor"),CONCATENATE("R",'Mapa final'!$A$10),"")</f>
        <v/>
      </c>
      <c r="AC14" s="365"/>
      <c r="AD14" s="365" t="str">
        <f>IF(AND('Mapa final'!$I$13="Alta",'Mapa final'!$M$13="Mayor"),CONCATENATE("R",'Mapa final'!$A$13),"")</f>
        <v/>
      </c>
      <c r="AE14" s="365"/>
      <c r="AF14" s="365" t="str">
        <f>IF(AND('Mapa final'!$I$17="Alta",'Mapa final'!$M$17="Mayor"),CONCATENATE("R",'Mapa final'!$A$17),"")</f>
        <v/>
      </c>
      <c r="AG14" s="367"/>
      <c r="AH14" s="379" t="str">
        <f>IF(AND('Mapa final'!$I$10="Alta",'Mapa final'!$M$10="Catastrófico"),CONCATENATE("R",'Mapa final'!$A$10),"")</f>
        <v/>
      </c>
      <c r="AI14" s="380"/>
      <c r="AJ14" s="380" t="str">
        <f>IF(AND('Mapa final'!$I$13="Alta",'Mapa final'!$M$13="Catastrófico"),CONCATENATE("R",'Mapa final'!$A$13),"")</f>
        <v/>
      </c>
      <c r="AK14" s="380"/>
      <c r="AL14" s="380" t="str">
        <f>IF(AND('Mapa final'!$I$17="Alta",'Mapa final'!$M$17="Catastrófico"),CONCATENATE("R",'Mapa final'!$A$17),"")</f>
        <v/>
      </c>
      <c r="AM14" s="381"/>
      <c r="AN14" s="82"/>
      <c r="AO14" s="326" t="s">
        <v>79</v>
      </c>
      <c r="AP14" s="327"/>
      <c r="AQ14" s="327"/>
      <c r="AR14" s="327"/>
      <c r="AS14" s="327"/>
      <c r="AT14" s="328"/>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315"/>
      <c r="C15" s="315"/>
      <c r="D15" s="316"/>
      <c r="E15" s="356"/>
      <c r="F15" s="357"/>
      <c r="G15" s="357"/>
      <c r="H15" s="357"/>
      <c r="I15" s="357"/>
      <c r="J15" s="382"/>
      <c r="K15" s="383"/>
      <c r="L15" s="383"/>
      <c r="M15" s="383"/>
      <c r="N15" s="383"/>
      <c r="O15" s="384"/>
      <c r="P15" s="382"/>
      <c r="Q15" s="383"/>
      <c r="R15" s="383"/>
      <c r="S15" s="383"/>
      <c r="T15" s="383"/>
      <c r="U15" s="384"/>
      <c r="V15" s="366"/>
      <c r="W15" s="362"/>
      <c r="X15" s="362"/>
      <c r="Y15" s="362"/>
      <c r="Z15" s="362"/>
      <c r="AA15" s="363"/>
      <c r="AB15" s="366"/>
      <c r="AC15" s="362"/>
      <c r="AD15" s="362"/>
      <c r="AE15" s="362"/>
      <c r="AF15" s="362"/>
      <c r="AG15" s="363"/>
      <c r="AH15" s="373"/>
      <c r="AI15" s="374"/>
      <c r="AJ15" s="374"/>
      <c r="AK15" s="374"/>
      <c r="AL15" s="374"/>
      <c r="AM15" s="375"/>
      <c r="AN15" s="82"/>
      <c r="AO15" s="329"/>
      <c r="AP15" s="330"/>
      <c r="AQ15" s="330"/>
      <c r="AR15" s="330"/>
      <c r="AS15" s="330"/>
      <c r="AT15" s="331"/>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315"/>
      <c r="C16" s="315"/>
      <c r="D16" s="316"/>
      <c r="E16" s="356"/>
      <c r="F16" s="357"/>
      <c r="G16" s="357"/>
      <c r="H16" s="357"/>
      <c r="I16" s="357"/>
      <c r="J16" s="382" t="str">
        <f>IF(AND('Mapa final'!$I$20="Alta",'Mapa final'!$M$20="Leve"),CONCATENATE("R",'Mapa final'!$A$20),"")</f>
        <v/>
      </c>
      <c r="K16" s="383"/>
      <c r="L16" s="383" t="str">
        <f>IF(AND('Mapa final'!$I$21="Alta",'Mapa final'!$M$21="Leve"),CONCATENATE("R",'Mapa final'!$A$21),"")</f>
        <v/>
      </c>
      <c r="M16" s="383"/>
      <c r="N16" s="383" t="str">
        <f>IF(AND('Mapa final'!$I$35="Alta",'Mapa final'!$M$35="Leve"),CONCATENATE("R",'Mapa final'!$A$35),"")</f>
        <v/>
      </c>
      <c r="O16" s="384"/>
      <c r="P16" s="382" t="str">
        <f>IF(AND('Mapa final'!$I$20="Alta",'Mapa final'!$M$20="Menor"),CONCATENATE("R",'Mapa final'!$A$20),"")</f>
        <v/>
      </c>
      <c r="Q16" s="383"/>
      <c r="R16" s="383" t="str">
        <f>IF(AND('Mapa final'!$I$21="Alta",'Mapa final'!$M$21="Menor"),CONCATENATE("R",'Mapa final'!$A$21),"")</f>
        <v/>
      </c>
      <c r="S16" s="383"/>
      <c r="T16" s="383" t="str">
        <f>IF(AND('Mapa final'!$I$35="Alta",'Mapa final'!$M$35="Menor"),CONCATENATE("R",'Mapa final'!$A$35),"")</f>
        <v/>
      </c>
      <c r="U16" s="384"/>
      <c r="V16" s="366" t="str">
        <f>IF(AND('Mapa final'!$I$20="Alta",'Mapa final'!$M$20="Moderado"),CONCATENATE("R",'Mapa final'!$A$20),"")</f>
        <v/>
      </c>
      <c r="W16" s="362"/>
      <c r="X16" s="362" t="str">
        <f>IF(AND('Mapa final'!$I$21="Alta",'Mapa final'!$M$21="Moderado"),CONCATENATE("R",'Mapa final'!$A$21),"")</f>
        <v/>
      </c>
      <c r="Y16" s="362"/>
      <c r="Z16" s="362" t="str">
        <f>IF(AND('Mapa final'!$I$35="Alta",'Mapa final'!$M$35="Moderado"),CONCATENATE("R",'Mapa final'!$A$35),"")</f>
        <v/>
      </c>
      <c r="AA16" s="363"/>
      <c r="AB16" s="366" t="str">
        <f>IF(AND('Mapa final'!$I$20="Alta",'Mapa final'!$M$20="Mayor"),CONCATENATE("R",'Mapa final'!$A$20),"")</f>
        <v/>
      </c>
      <c r="AC16" s="362"/>
      <c r="AD16" s="362" t="str">
        <f>IF(AND('Mapa final'!$I$21="Alta",'Mapa final'!$M$21="Mayor"),CONCATENATE("R",'Mapa final'!$A$21),"")</f>
        <v/>
      </c>
      <c r="AE16" s="362"/>
      <c r="AF16" s="362" t="str">
        <f>IF(AND('Mapa final'!$I$35="Alta",'Mapa final'!$M$35="Mayor"),CONCATENATE("R",'Mapa final'!$A$35),"")</f>
        <v>R8</v>
      </c>
      <c r="AG16" s="363"/>
      <c r="AH16" s="373" t="str">
        <f>IF(AND('Mapa final'!$I$20="Alta",'Mapa final'!$M$20="Catastrófico"),CONCATENATE("R",'Mapa final'!$A$20),"")</f>
        <v/>
      </c>
      <c r="AI16" s="374"/>
      <c r="AJ16" s="374" t="str">
        <f>IF(AND('Mapa final'!$I$21="Alta",'Mapa final'!$M$21="Catastrófico"),CONCATENATE("R",'Mapa final'!$A$21),"")</f>
        <v>R5</v>
      </c>
      <c r="AK16" s="374"/>
      <c r="AL16" s="374" t="str">
        <f>IF(AND('Mapa final'!$I$35="Alta",'Mapa final'!$M$35="Catastrófico"),CONCATENATE("R",'Mapa final'!$A$35),"")</f>
        <v/>
      </c>
      <c r="AM16" s="375"/>
      <c r="AN16" s="82"/>
      <c r="AO16" s="329"/>
      <c r="AP16" s="330"/>
      <c r="AQ16" s="330"/>
      <c r="AR16" s="330"/>
      <c r="AS16" s="330"/>
      <c r="AT16" s="331"/>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315"/>
      <c r="C17" s="315"/>
      <c r="D17" s="316"/>
      <c r="E17" s="356"/>
      <c r="F17" s="357"/>
      <c r="G17" s="357"/>
      <c r="H17" s="357"/>
      <c r="I17" s="357"/>
      <c r="J17" s="382"/>
      <c r="K17" s="383"/>
      <c r="L17" s="383"/>
      <c r="M17" s="383"/>
      <c r="N17" s="383"/>
      <c r="O17" s="384"/>
      <c r="P17" s="382"/>
      <c r="Q17" s="383"/>
      <c r="R17" s="383"/>
      <c r="S17" s="383"/>
      <c r="T17" s="383"/>
      <c r="U17" s="384"/>
      <c r="V17" s="366"/>
      <c r="W17" s="362"/>
      <c r="X17" s="362"/>
      <c r="Y17" s="362"/>
      <c r="Z17" s="362"/>
      <c r="AA17" s="363"/>
      <c r="AB17" s="366"/>
      <c r="AC17" s="362"/>
      <c r="AD17" s="362"/>
      <c r="AE17" s="362"/>
      <c r="AF17" s="362"/>
      <c r="AG17" s="363"/>
      <c r="AH17" s="373"/>
      <c r="AI17" s="374"/>
      <c r="AJ17" s="374"/>
      <c r="AK17" s="374"/>
      <c r="AL17" s="374"/>
      <c r="AM17" s="375"/>
      <c r="AN17" s="82"/>
      <c r="AO17" s="329"/>
      <c r="AP17" s="330"/>
      <c r="AQ17" s="330"/>
      <c r="AR17" s="330"/>
      <c r="AS17" s="330"/>
      <c r="AT17" s="331"/>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315"/>
      <c r="C18" s="315"/>
      <c r="D18" s="316"/>
      <c r="E18" s="356"/>
      <c r="F18" s="357"/>
      <c r="G18" s="357"/>
      <c r="H18" s="357"/>
      <c r="I18" s="357"/>
      <c r="J18" s="382" t="str">
        <f>IF(AND('Mapa final'!$I$36="Alta",'Mapa final'!$M$36="Leve"),CONCATENATE("R",'Mapa final'!$A$36),"")</f>
        <v/>
      </c>
      <c r="K18" s="383"/>
      <c r="L18" s="383" t="e">
        <f>IF(AND('Mapa final'!#REF!="Alta",'Mapa final'!#REF!="Leve"),CONCATENATE("R",'Mapa final'!#REF!),"")</f>
        <v>#REF!</v>
      </c>
      <c r="M18" s="383"/>
      <c r="N18" s="383" t="str">
        <f>IF(AND('Mapa final'!$I$37="Alta",'Mapa final'!$M$37="Leve"),CONCATENATE("R",'Mapa final'!$A$37),"")</f>
        <v/>
      </c>
      <c r="O18" s="384"/>
      <c r="P18" s="382" t="str">
        <f>IF(AND('Mapa final'!$I$36="Alta",'Mapa final'!$M$36="Menor"),CONCATENATE("R",'Mapa final'!$A$36),"")</f>
        <v/>
      </c>
      <c r="Q18" s="383"/>
      <c r="R18" s="383" t="e">
        <f>IF(AND('Mapa final'!#REF!="Alta",'Mapa final'!#REF!="Menor"),CONCATENATE("R",'Mapa final'!#REF!),"")</f>
        <v>#REF!</v>
      </c>
      <c r="S18" s="383"/>
      <c r="T18" s="383" t="str">
        <f>IF(AND('Mapa final'!$I$37="Alta",'Mapa final'!$M$37="Menor"),CONCATENATE("R",'Mapa final'!$A$37),"")</f>
        <v/>
      </c>
      <c r="U18" s="384"/>
      <c r="V18" s="366" t="str">
        <f>IF(AND('Mapa final'!$I$36="Alta",'Mapa final'!$M$36="Moderado"),CONCATENATE("R",'Mapa final'!$A$36),"")</f>
        <v/>
      </c>
      <c r="W18" s="362"/>
      <c r="X18" s="362" t="e">
        <f>IF(AND('Mapa final'!#REF!="Alta",'Mapa final'!#REF!="Moderado"),CONCATENATE("R",'Mapa final'!#REF!),"")</f>
        <v>#REF!</v>
      </c>
      <c r="Y18" s="362"/>
      <c r="Z18" s="362" t="str">
        <f>IF(AND('Mapa final'!$I$37="Alta",'Mapa final'!$M$37="Moderado"),CONCATENATE("R",'Mapa final'!$A$37),"")</f>
        <v/>
      </c>
      <c r="AA18" s="363"/>
      <c r="AB18" s="366" t="str">
        <f>IF(AND('Mapa final'!$I$36="Alta",'Mapa final'!$M$36="Mayor"),CONCATENATE("R",'Mapa final'!$A$36),"")</f>
        <v/>
      </c>
      <c r="AC18" s="362"/>
      <c r="AD18" s="362" t="e">
        <f>IF(AND('Mapa final'!#REF!="Alta",'Mapa final'!#REF!="Mayor"),CONCATENATE("R",'Mapa final'!#REF!),"")</f>
        <v>#REF!</v>
      </c>
      <c r="AE18" s="362"/>
      <c r="AF18" s="362" t="str">
        <f>IF(AND('Mapa final'!$I$37="Alta",'Mapa final'!$M$37="Mayor"),CONCATENATE("R",'Mapa final'!$A$37),"")</f>
        <v/>
      </c>
      <c r="AG18" s="363"/>
      <c r="AH18" s="373" t="str">
        <f>IF(AND('Mapa final'!$I$36="Alta",'Mapa final'!$M$36="Catastrófico"),CONCATENATE("R",'Mapa final'!$A$36),"")</f>
        <v/>
      </c>
      <c r="AI18" s="374"/>
      <c r="AJ18" s="374" t="e">
        <f>IF(AND('Mapa final'!#REF!="Alta",'Mapa final'!#REF!="Catastrófico"),CONCATENATE("R",'Mapa final'!#REF!),"")</f>
        <v>#REF!</v>
      </c>
      <c r="AK18" s="374"/>
      <c r="AL18" s="374" t="str">
        <f>IF(AND('Mapa final'!$I$37="Alta",'Mapa final'!$M$37="Catastrófico"),CONCATENATE("R",'Mapa final'!$A$37),"")</f>
        <v/>
      </c>
      <c r="AM18" s="375"/>
      <c r="AN18" s="82"/>
      <c r="AO18" s="329"/>
      <c r="AP18" s="330"/>
      <c r="AQ18" s="330"/>
      <c r="AR18" s="330"/>
      <c r="AS18" s="330"/>
      <c r="AT18" s="331"/>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315"/>
      <c r="C19" s="315"/>
      <c r="D19" s="316"/>
      <c r="E19" s="356"/>
      <c r="F19" s="357"/>
      <c r="G19" s="357"/>
      <c r="H19" s="357"/>
      <c r="I19" s="357"/>
      <c r="J19" s="382"/>
      <c r="K19" s="383"/>
      <c r="L19" s="383"/>
      <c r="M19" s="383"/>
      <c r="N19" s="383"/>
      <c r="O19" s="384"/>
      <c r="P19" s="382"/>
      <c r="Q19" s="383"/>
      <c r="R19" s="383"/>
      <c r="S19" s="383"/>
      <c r="T19" s="383"/>
      <c r="U19" s="384"/>
      <c r="V19" s="366"/>
      <c r="W19" s="362"/>
      <c r="X19" s="362"/>
      <c r="Y19" s="362"/>
      <c r="Z19" s="362"/>
      <c r="AA19" s="363"/>
      <c r="AB19" s="366"/>
      <c r="AC19" s="362"/>
      <c r="AD19" s="362"/>
      <c r="AE19" s="362"/>
      <c r="AF19" s="362"/>
      <c r="AG19" s="363"/>
      <c r="AH19" s="373"/>
      <c r="AI19" s="374"/>
      <c r="AJ19" s="374"/>
      <c r="AK19" s="374"/>
      <c r="AL19" s="374"/>
      <c r="AM19" s="375"/>
      <c r="AN19" s="82"/>
      <c r="AO19" s="329"/>
      <c r="AP19" s="330"/>
      <c r="AQ19" s="330"/>
      <c r="AR19" s="330"/>
      <c r="AS19" s="330"/>
      <c r="AT19" s="331"/>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315"/>
      <c r="C20" s="315"/>
      <c r="D20" s="316"/>
      <c r="E20" s="356"/>
      <c r="F20" s="357"/>
      <c r="G20" s="357"/>
      <c r="H20" s="357"/>
      <c r="I20" s="357"/>
      <c r="J20" s="382" t="str">
        <f>IF(AND('Mapa final'!$I$38="Alta",'Mapa final'!$M$38="Leve"),CONCATENATE("R",'Mapa final'!$A$38),"")</f>
        <v/>
      </c>
      <c r="K20" s="383"/>
      <c r="L20" s="383" t="str">
        <f>IF(AND('Mapa final'!$I$140="Alta",'Mapa final'!$M$140="Leve"),CONCATENATE("R",'Mapa final'!$A$135),"")</f>
        <v/>
      </c>
      <c r="M20" s="383"/>
      <c r="N20" s="383" t="e">
        <f>IF(AND('Mapa final'!#REF!="Alta",'Mapa final'!#REF!="Leve"),CONCATENATE("R",'Mapa final'!#REF!),"")</f>
        <v>#REF!</v>
      </c>
      <c r="O20" s="384"/>
      <c r="P20" s="382" t="str">
        <f>IF(AND('Mapa final'!$I$38="Alta",'Mapa final'!$M$38="Menor"),CONCATENATE("R",'Mapa final'!$A$38),"")</f>
        <v/>
      </c>
      <c r="Q20" s="383"/>
      <c r="R20" s="383" t="str">
        <f>IF(AND('Mapa final'!$I$140="Alta",'Mapa final'!$M$140="Menor"),CONCATENATE("R",'Mapa final'!$A$135),"")</f>
        <v/>
      </c>
      <c r="S20" s="383"/>
      <c r="T20" s="383" t="e">
        <f>IF(AND('Mapa final'!#REF!="Alta",'Mapa final'!#REF!="Menor"),CONCATENATE("R",'Mapa final'!#REF!),"")</f>
        <v>#REF!</v>
      </c>
      <c r="U20" s="384"/>
      <c r="V20" s="366" t="str">
        <f>IF(AND('Mapa final'!$I$38="Alta",'Mapa final'!$M$38="Moderado"),CONCATENATE("R",'Mapa final'!$A$38),"")</f>
        <v>R11</v>
      </c>
      <c r="W20" s="362"/>
      <c r="X20" s="362" t="str">
        <f>IF(AND('Mapa final'!$I$140="Alta",'Mapa final'!$M$140="Moderado"),CONCATENATE("R",'Mapa final'!$A$135),"")</f>
        <v/>
      </c>
      <c r="Y20" s="362"/>
      <c r="Z20" s="362" t="e">
        <f>IF(AND('Mapa final'!#REF!="Alta",'Mapa final'!#REF!="Moderado"),CONCATENATE("R",'Mapa final'!#REF!),"")</f>
        <v>#REF!</v>
      </c>
      <c r="AA20" s="363"/>
      <c r="AB20" s="366" t="str">
        <f>IF(AND('Mapa final'!$I$38="Alta",'Mapa final'!$M$38="Mayor"),CONCATENATE("R",'Mapa final'!$A$38),"")</f>
        <v/>
      </c>
      <c r="AC20" s="362"/>
      <c r="AD20" s="362" t="str">
        <f>IF(AND('Mapa final'!$I$140="Alta",'Mapa final'!$M$140="Mayor"),CONCATENATE("R",'Mapa final'!$A$135),"")</f>
        <v/>
      </c>
      <c r="AE20" s="362"/>
      <c r="AF20" s="362" t="e">
        <f>IF(AND('Mapa final'!#REF!="Alta",'Mapa final'!#REF!="Mayor"),CONCATENATE("R",'Mapa final'!#REF!),"")</f>
        <v>#REF!</v>
      </c>
      <c r="AG20" s="363"/>
      <c r="AH20" s="373" t="str">
        <f>IF(AND('Mapa final'!$I$38="Alta",'Mapa final'!$M$38="Catastrófico"),CONCATENATE("R",'Mapa final'!$A$38),"")</f>
        <v/>
      </c>
      <c r="AI20" s="374"/>
      <c r="AJ20" s="374" t="str">
        <f>IF(AND('Mapa final'!$I$140="Alta",'Mapa final'!$M$140="Catastrófico"),CONCATENATE("R",'Mapa final'!$A$135),"")</f>
        <v/>
      </c>
      <c r="AK20" s="374"/>
      <c r="AL20" s="374" t="e">
        <f>IF(AND('Mapa final'!#REF!="Alta",'Mapa final'!#REF!="Catastrófico"),CONCATENATE("R",'Mapa final'!#REF!),"")</f>
        <v>#REF!</v>
      </c>
      <c r="AM20" s="375"/>
      <c r="AN20" s="82"/>
      <c r="AO20" s="329"/>
      <c r="AP20" s="330"/>
      <c r="AQ20" s="330"/>
      <c r="AR20" s="330"/>
      <c r="AS20" s="330"/>
      <c r="AT20" s="331"/>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315"/>
      <c r="C21" s="315"/>
      <c r="D21" s="316"/>
      <c r="E21" s="359"/>
      <c r="F21" s="360"/>
      <c r="G21" s="360"/>
      <c r="H21" s="360"/>
      <c r="I21" s="360"/>
      <c r="J21" s="385"/>
      <c r="K21" s="386"/>
      <c r="L21" s="386"/>
      <c r="M21" s="386"/>
      <c r="N21" s="386"/>
      <c r="O21" s="387"/>
      <c r="P21" s="385"/>
      <c r="Q21" s="386"/>
      <c r="R21" s="386"/>
      <c r="S21" s="386"/>
      <c r="T21" s="386"/>
      <c r="U21" s="387"/>
      <c r="V21" s="370"/>
      <c r="W21" s="371"/>
      <c r="X21" s="371"/>
      <c r="Y21" s="371"/>
      <c r="Z21" s="371"/>
      <c r="AA21" s="372"/>
      <c r="AB21" s="370"/>
      <c r="AC21" s="371"/>
      <c r="AD21" s="371"/>
      <c r="AE21" s="371"/>
      <c r="AF21" s="371"/>
      <c r="AG21" s="372"/>
      <c r="AH21" s="376"/>
      <c r="AI21" s="377"/>
      <c r="AJ21" s="377"/>
      <c r="AK21" s="377"/>
      <c r="AL21" s="377"/>
      <c r="AM21" s="378"/>
      <c r="AN21" s="82"/>
      <c r="AO21" s="332"/>
      <c r="AP21" s="333"/>
      <c r="AQ21" s="333"/>
      <c r="AR21" s="333"/>
      <c r="AS21" s="333"/>
      <c r="AT21" s="334"/>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315"/>
      <c r="C22" s="315"/>
      <c r="D22" s="316"/>
      <c r="E22" s="353" t="s">
        <v>116</v>
      </c>
      <c r="F22" s="354"/>
      <c r="G22" s="354"/>
      <c r="H22" s="354"/>
      <c r="I22" s="355"/>
      <c r="J22" s="388" t="str">
        <f>IF(AND('Mapa final'!$I$10="Media",'Mapa final'!$M$10="Leve"),CONCATENATE("R",'Mapa final'!$A$10),"")</f>
        <v/>
      </c>
      <c r="K22" s="389"/>
      <c r="L22" s="389" t="str">
        <f>IF(AND('Mapa final'!$I$13="Media",'Mapa final'!$M$13="Leve"),CONCATENATE("R",'Mapa final'!$A$13),"")</f>
        <v/>
      </c>
      <c r="M22" s="389"/>
      <c r="N22" s="389" t="str">
        <f>IF(AND('Mapa final'!$I$17="Media",'Mapa final'!$M$17="Leve"),CONCATENATE("R",'Mapa final'!$A$17),"")</f>
        <v>R3</v>
      </c>
      <c r="O22" s="390"/>
      <c r="P22" s="388" t="str">
        <f>IF(AND('Mapa final'!$I$10="Media",'Mapa final'!$M$10="Menor"),CONCATENATE("R",'Mapa final'!$A$10),"")</f>
        <v/>
      </c>
      <c r="Q22" s="389"/>
      <c r="R22" s="389" t="str">
        <f>IF(AND('Mapa final'!$I$13="Media",'Mapa final'!$M$13="Menor"),CONCATENATE("R",'Mapa final'!$A$13),"")</f>
        <v/>
      </c>
      <c r="S22" s="389"/>
      <c r="T22" s="389" t="str">
        <f>IF(AND('Mapa final'!$I$17="Media",'Mapa final'!$M$17="Menor"),CONCATENATE("R",'Mapa final'!$A$17),"")</f>
        <v/>
      </c>
      <c r="U22" s="390"/>
      <c r="V22" s="388" t="str">
        <f>IF(AND('Mapa final'!$I$10="Media",'Mapa final'!$M$10="Moderado"),CONCATENATE("R",'Mapa final'!$A$10),"")</f>
        <v/>
      </c>
      <c r="W22" s="389"/>
      <c r="X22" s="389" t="str">
        <f>IF(AND('Mapa final'!$I$13="Media",'Mapa final'!$M$13="Moderado"),CONCATENATE("R",'Mapa final'!$A$13),"")</f>
        <v/>
      </c>
      <c r="Y22" s="389"/>
      <c r="Z22" s="389" t="str">
        <f>IF(AND('Mapa final'!$I$17="Media",'Mapa final'!$M$17="Moderado"),CONCATENATE("R",'Mapa final'!$A$17),"")</f>
        <v/>
      </c>
      <c r="AA22" s="390"/>
      <c r="AB22" s="364" t="str">
        <f>IF(AND('Mapa final'!$I$10="Media",'Mapa final'!$M$10="Mayor"),CONCATENATE("R",'Mapa final'!$A$10),"")</f>
        <v/>
      </c>
      <c r="AC22" s="365"/>
      <c r="AD22" s="365" t="str">
        <f>IF(AND('Mapa final'!$I$13="Media",'Mapa final'!$M$13="Mayor"),CONCATENATE("R",'Mapa final'!$A$13),"")</f>
        <v/>
      </c>
      <c r="AE22" s="365"/>
      <c r="AF22" s="365" t="str">
        <f>IF(AND('Mapa final'!$I$17="Media",'Mapa final'!$M$17="Mayor"),CONCATENATE("R",'Mapa final'!$A$17),"")</f>
        <v/>
      </c>
      <c r="AG22" s="367"/>
      <c r="AH22" s="379" t="str">
        <f>IF(AND('Mapa final'!$I$10="Media",'Mapa final'!$M$10="Catastrófico"),CONCATENATE("R",'Mapa final'!$A$10),"")</f>
        <v/>
      </c>
      <c r="AI22" s="380"/>
      <c r="AJ22" s="380" t="str">
        <f>IF(AND('Mapa final'!$I$13="Media",'Mapa final'!$M$13="Catastrófico"),CONCATENATE("R",'Mapa final'!$A$13),"")</f>
        <v/>
      </c>
      <c r="AK22" s="380"/>
      <c r="AL22" s="380" t="str">
        <f>IF(AND('Mapa final'!$I$17="Media",'Mapa final'!$M$17="Catastrófico"),CONCATENATE("R",'Mapa final'!$A$17),"")</f>
        <v/>
      </c>
      <c r="AM22" s="381"/>
      <c r="AN22" s="82"/>
      <c r="AO22" s="335" t="s">
        <v>80</v>
      </c>
      <c r="AP22" s="336"/>
      <c r="AQ22" s="336"/>
      <c r="AR22" s="336"/>
      <c r="AS22" s="336"/>
      <c r="AT22" s="337"/>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315"/>
      <c r="C23" s="315"/>
      <c r="D23" s="316"/>
      <c r="E23" s="356"/>
      <c r="F23" s="357"/>
      <c r="G23" s="357"/>
      <c r="H23" s="357"/>
      <c r="I23" s="358"/>
      <c r="J23" s="382"/>
      <c r="K23" s="383"/>
      <c r="L23" s="383"/>
      <c r="M23" s="383"/>
      <c r="N23" s="383"/>
      <c r="O23" s="384"/>
      <c r="P23" s="382"/>
      <c r="Q23" s="383"/>
      <c r="R23" s="383"/>
      <c r="S23" s="383"/>
      <c r="T23" s="383"/>
      <c r="U23" s="384"/>
      <c r="V23" s="382"/>
      <c r="W23" s="383"/>
      <c r="X23" s="383"/>
      <c r="Y23" s="383"/>
      <c r="Z23" s="383"/>
      <c r="AA23" s="384"/>
      <c r="AB23" s="366"/>
      <c r="AC23" s="362"/>
      <c r="AD23" s="362"/>
      <c r="AE23" s="362"/>
      <c r="AF23" s="362"/>
      <c r="AG23" s="363"/>
      <c r="AH23" s="373"/>
      <c r="AI23" s="374"/>
      <c r="AJ23" s="374"/>
      <c r="AK23" s="374"/>
      <c r="AL23" s="374"/>
      <c r="AM23" s="375"/>
      <c r="AN23" s="82"/>
      <c r="AO23" s="338"/>
      <c r="AP23" s="339"/>
      <c r="AQ23" s="339"/>
      <c r="AR23" s="339"/>
      <c r="AS23" s="339"/>
      <c r="AT23" s="340"/>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315"/>
      <c r="C24" s="315"/>
      <c r="D24" s="316"/>
      <c r="E24" s="356"/>
      <c r="F24" s="357"/>
      <c r="G24" s="357"/>
      <c r="H24" s="357"/>
      <c r="I24" s="358"/>
      <c r="J24" s="382" t="str">
        <f>IF(AND('Mapa final'!$I$20="Media",'Mapa final'!$M$20="Leve"),CONCATENATE("R",'Mapa final'!$A$20),"")</f>
        <v/>
      </c>
      <c r="K24" s="383"/>
      <c r="L24" s="383" t="str">
        <f>IF(AND('Mapa final'!$I$21="Media",'Mapa final'!$M$21="Leve"),CONCATENATE("R",'Mapa final'!$A$21),"")</f>
        <v/>
      </c>
      <c r="M24" s="383"/>
      <c r="N24" s="383" t="str">
        <f>IF(AND('Mapa final'!$I$35="Media",'Mapa final'!$M$35="Leve"),CONCATENATE("R",'Mapa final'!$A$35),"")</f>
        <v/>
      </c>
      <c r="O24" s="384"/>
      <c r="P24" s="382" t="str">
        <f>IF(AND('Mapa final'!$I$20="Media",'Mapa final'!$M$20="Menor"),CONCATENATE("R",'Mapa final'!$A$20),"")</f>
        <v/>
      </c>
      <c r="Q24" s="383"/>
      <c r="R24" s="383" t="str">
        <f>IF(AND('Mapa final'!$I$21="Media",'Mapa final'!$M$21="Menor"),CONCATENATE("R",'Mapa final'!$A$21),"")</f>
        <v/>
      </c>
      <c r="S24" s="383"/>
      <c r="T24" s="383" t="str">
        <f>IF(AND('Mapa final'!$I$35="Media",'Mapa final'!$M$35="Menor"),CONCATENATE("R",'Mapa final'!$A$35),"")</f>
        <v/>
      </c>
      <c r="U24" s="384"/>
      <c r="V24" s="382" t="str">
        <f>IF(AND('Mapa final'!$I$20="Media",'Mapa final'!$M$20="Moderado"),CONCATENATE("R",'Mapa final'!$A$20),"")</f>
        <v/>
      </c>
      <c r="W24" s="383"/>
      <c r="X24" s="383" t="str">
        <f>IF(AND('Mapa final'!$I$21="Media",'Mapa final'!$M$21="Moderado"),CONCATENATE("R",'Mapa final'!$A$21),"")</f>
        <v/>
      </c>
      <c r="Y24" s="383"/>
      <c r="Z24" s="383" t="str">
        <f>IF(AND('Mapa final'!$I$35="Media",'Mapa final'!$M$35="Moderado"),CONCATENATE("R",'Mapa final'!$A$35),"")</f>
        <v/>
      </c>
      <c r="AA24" s="384"/>
      <c r="AB24" s="366" t="str">
        <f>IF(AND('Mapa final'!$I$20="Media",'Mapa final'!$M$20="Mayor"),CONCATENATE("R",'Mapa final'!$A$20),"")</f>
        <v/>
      </c>
      <c r="AC24" s="362"/>
      <c r="AD24" s="362" t="str">
        <f>IF(AND('Mapa final'!$I$21="Media",'Mapa final'!$M$21="Mayor"),CONCATENATE("R",'Mapa final'!$A$21),"")</f>
        <v/>
      </c>
      <c r="AE24" s="362"/>
      <c r="AF24" s="362" t="str">
        <f>IF(AND('Mapa final'!$I$35="Media",'Mapa final'!$M$35="Mayor"),CONCATENATE("R",'Mapa final'!$A$35),"")</f>
        <v/>
      </c>
      <c r="AG24" s="363"/>
      <c r="AH24" s="373" t="str">
        <f>IF(AND('Mapa final'!$I$20="Media",'Mapa final'!$M$20="Catastrófico"),CONCATENATE("R",'Mapa final'!$A$20),"")</f>
        <v/>
      </c>
      <c r="AI24" s="374"/>
      <c r="AJ24" s="374" t="str">
        <f>IF(AND('Mapa final'!$I$21="Media",'Mapa final'!$M$21="Catastrófico"),CONCATENATE("R",'Mapa final'!$A$21),"")</f>
        <v/>
      </c>
      <c r="AK24" s="374"/>
      <c r="AL24" s="374" t="str">
        <f>IF(AND('Mapa final'!$I$35="Media",'Mapa final'!$M$35="Catastrófico"),CONCATENATE("R",'Mapa final'!$A$35),"")</f>
        <v/>
      </c>
      <c r="AM24" s="375"/>
      <c r="AN24" s="82"/>
      <c r="AO24" s="338"/>
      <c r="AP24" s="339"/>
      <c r="AQ24" s="339"/>
      <c r="AR24" s="339"/>
      <c r="AS24" s="339"/>
      <c r="AT24" s="340"/>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315"/>
      <c r="C25" s="315"/>
      <c r="D25" s="316"/>
      <c r="E25" s="356"/>
      <c r="F25" s="357"/>
      <c r="G25" s="357"/>
      <c r="H25" s="357"/>
      <c r="I25" s="358"/>
      <c r="J25" s="382"/>
      <c r="K25" s="383"/>
      <c r="L25" s="383"/>
      <c r="M25" s="383"/>
      <c r="N25" s="383"/>
      <c r="O25" s="384"/>
      <c r="P25" s="382"/>
      <c r="Q25" s="383"/>
      <c r="R25" s="383"/>
      <c r="S25" s="383"/>
      <c r="T25" s="383"/>
      <c r="U25" s="384"/>
      <c r="V25" s="382"/>
      <c r="W25" s="383"/>
      <c r="X25" s="383"/>
      <c r="Y25" s="383"/>
      <c r="Z25" s="383"/>
      <c r="AA25" s="384"/>
      <c r="AB25" s="366"/>
      <c r="AC25" s="362"/>
      <c r="AD25" s="362"/>
      <c r="AE25" s="362"/>
      <c r="AF25" s="362"/>
      <c r="AG25" s="363"/>
      <c r="AH25" s="373"/>
      <c r="AI25" s="374"/>
      <c r="AJ25" s="374"/>
      <c r="AK25" s="374"/>
      <c r="AL25" s="374"/>
      <c r="AM25" s="375"/>
      <c r="AN25" s="82"/>
      <c r="AO25" s="338"/>
      <c r="AP25" s="339"/>
      <c r="AQ25" s="339"/>
      <c r="AR25" s="339"/>
      <c r="AS25" s="339"/>
      <c r="AT25" s="340"/>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315"/>
      <c r="C26" s="315"/>
      <c r="D26" s="316"/>
      <c r="E26" s="356"/>
      <c r="F26" s="357"/>
      <c r="G26" s="357"/>
      <c r="H26" s="357"/>
      <c r="I26" s="358"/>
      <c r="J26" s="382" t="str">
        <f>IF(AND('Mapa final'!$I$36="Media",'Mapa final'!$M$36="Leve"),CONCATENATE("R",'Mapa final'!$A$36),"")</f>
        <v/>
      </c>
      <c r="K26" s="383"/>
      <c r="L26" s="383" t="e">
        <f>IF(AND('Mapa final'!#REF!="Media",'Mapa final'!#REF!="Leve"),CONCATENATE("R",'Mapa final'!#REF!),"")</f>
        <v>#REF!</v>
      </c>
      <c r="M26" s="383"/>
      <c r="N26" s="383" t="str">
        <f>IF(AND('Mapa final'!$I$37="Media",'Mapa final'!$M$37="Leve"),CONCATENATE("R",'Mapa final'!$A$37),"")</f>
        <v/>
      </c>
      <c r="O26" s="384"/>
      <c r="P26" s="382" t="str">
        <f>IF(AND('Mapa final'!$I$36="Media",'Mapa final'!$M$36="Menor"),CONCATENATE("R",'Mapa final'!$A$36),"")</f>
        <v/>
      </c>
      <c r="Q26" s="383"/>
      <c r="R26" s="383" t="e">
        <f>IF(AND('Mapa final'!#REF!="Media",'Mapa final'!#REF!="Menor"),CONCATENATE("R",'Mapa final'!#REF!),"")</f>
        <v>#REF!</v>
      </c>
      <c r="S26" s="383"/>
      <c r="T26" s="383" t="str">
        <f>IF(AND('Mapa final'!$I$37="Media",'Mapa final'!$M$37="Menor"),CONCATENATE("R",'Mapa final'!$A$37),"")</f>
        <v/>
      </c>
      <c r="U26" s="384"/>
      <c r="V26" s="382" t="str">
        <f>IF(AND('Mapa final'!$I$36="Media",'Mapa final'!$M$36="Moderado"),CONCATENATE("R",'Mapa final'!$A$36),"")</f>
        <v/>
      </c>
      <c r="W26" s="383"/>
      <c r="X26" s="383" t="e">
        <f>IF(AND('Mapa final'!#REF!="Media",'Mapa final'!#REF!="Moderado"),CONCATENATE("R",'Mapa final'!#REF!),"")</f>
        <v>#REF!</v>
      </c>
      <c r="Y26" s="383"/>
      <c r="Z26" s="383" t="str">
        <f>IF(AND('Mapa final'!$I$37="Media",'Mapa final'!$M$37="Moderado"),CONCATENATE("R",'Mapa final'!$A$37),"")</f>
        <v/>
      </c>
      <c r="AA26" s="384"/>
      <c r="AB26" s="366" t="str">
        <f>IF(AND('Mapa final'!$I$36="Media",'Mapa final'!$M$36="Mayor"),CONCATENATE("R",'Mapa final'!$A$36),"")</f>
        <v/>
      </c>
      <c r="AC26" s="362"/>
      <c r="AD26" s="362" t="e">
        <f>IF(AND('Mapa final'!#REF!="Media",'Mapa final'!#REF!="Mayor"),CONCATENATE("R",'Mapa final'!#REF!),"")</f>
        <v>#REF!</v>
      </c>
      <c r="AE26" s="362"/>
      <c r="AF26" s="362" t="str">
        <f>IF(AND('Mapa final'!$I$37="Media",'Mapa final'!$M$37="Mayor"),CONCATENATE("R",'Mapa final'!$A$37),"")</f>
        <v/>
      </c>
      <c r="AG26" s="363"/>
      <c r="AH26" s="373" t="str">
        <f>IF(AND('Mapa final'!$I$36="Media",'Mapa final'!$M$36="Catastrófico"),CONCATENATE("R",'Mapa final'!$A$36),"")</f>
        <v/>
      </c>
      <c r="AI26" s="374"/>
      <c r="AJ26" s="374" t="e">
        <f>IF(AND('Mapa final'!#REF!="Media",'Mapa final'!#REF!="Catastrófico"),CONCATENATE("R",'Mapa final'!#REF!),"")</f>
        <v>#REF!</v>
      </c>
      <c r="AK26" s="374"/>
      <c r="AL26" s="374" t="str">
        <f>IF(AND('Mapa final'!$I$37="Media",'Mapa final'!$M$37="Catastrófico"),CONCATENATE("R",'Mapa final'!$A$37),"")</f>
        <v/>
      </c>
      <c r="AM26" s="375"/>
      <c r="AN26" s="82"/>
      <c r="AO26" s="338"/>
      <c r="AP26" s="339"/>
      <c r="AQ26" s="339"/>
      <c r="AR26" s="339"/>
      <c r="AS26" s="339"/>
      <c r="AT26" s="340"/>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315"/>
      <c r="C27" s="315"/>
      <c r="D27" s="316"/>
      <c r="E27" s="356"/>
      <c r="F27" s="357"/>
      <c r="G27" s="357"/>
      <c r="H27" s="357"/>
      <c r="I27" s="358"/>
      <c r="J27" s="382"/>
      <c r="K27" s="383"/>
      <c r="L27" s="383"/>
      <c r="M27" s="383"/>
      <c r="N27" s="383"/>
      <c r="O27" s="384"/>
      <c r="P27" s="382"/>
      <c r="Q27" s="383"/>
      <c r="R27" s="383"/>
      <c r="S27" s="383"/>
      <c r="T27" s="383"/>
      <c r="U27" s="384"/>
      <c r="V27" s="382"/>
      <c r="W27" s="383"/>
      <c r="X27" s="383"/>
      <c r="Y27" s="383"/>
      <c r="Z27" s="383"/>
      <c r="AA27" s="384"/>
      <c r="AB27" s="366"/>
      <c r="AC27" s="362"/>
      <c r="AD27" s="362"/>
      <c r="AE27" s="362"/>
      <c r="AF27" s="362"/>
      <c r="AG27" s="363"/>
      <c r="AH27" s="373"/>
      <c r="AI27" s="374"/>
      <c r="AJ27" s="374"/>
      <c r="AK27" s="374"/>
      <c r="AL27" s="374"/>
      <c r="AM27" s="375"/>
      <c r="AN27" s="82"/>
      <c r="AO27" s="338"/>
      <c r="AP27" s="339"/>
      <c r="AQ27" s="339"/>
      <c r="AR27" s="339"/>
      <c r="AS27" s="339"/>
      <c r="AT27" s="340"/>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315"/>
      <c r="C28" s="315"/>
      <c r="D28" s="316"/>
      <c r="E28" s="356"/>
      <c r="F28" s="357"/>
      <c r="G28" s="357"/>
      <c r="H28" s="357"/>
      <c r="I28" s="358"/>
      <c r="J28" s="382" t="str">
        <f>IF(AND('Mapa final'!$I$38="Media",'Mapa final'!$M$38="Leve"),CONCATENATE("R",'Mapa final'!$A$38),"")</f>
        <v/>
      </c>
      <c r="K28" s="383"/>
      <c r="L28" s="383" t="str">
        <f>IF(AND('Mapa final'!$I$140="Media",'Mapa final'!$M$140="Leve"),CONCATENATE("R",'Mapa final'!$A$135),"")</f>
        <v/>
      </c>
      <c r="M28" s="383"/>
      <c r="N28" s="383" t="e">
        <f>IF(AND('Mapa final'!#REF!="Media",'Mapa final'!#REF!="Leve"),CONCATENATE("R",'Mapa final'!#REF!),"")</f>
        <v>#REF!</v>
      </c>
      <c r="O28" s="384"/>
      <c r="P28" s="382" t="str">
        <f>IF(AND('Mapa final'!$I$38="Media",'Mapa final'!$M$38="Menor"),CONCATENATE("R",'Mapa final'!$A$38),"")</f>
        <v/>
      </c>
      <c r="Q28" s="383"/>
      <c r="R28" s="383" t="str">
        <f>IF(AND('Mapa final'!$I$140="Media",'Mapa final'!$M$140="Menor"),CONCATENATE("R",'Mapa final'!$A$135),"")</f>
        <v/>
      </c>
      <c r="S28" s="383"/>
      <c r="T28" s="383" t="e">
        <f>IF(AND('Mapa final'!#REF!="Media",'Mapa final'!#REF!="Menor"),CONCATENATE("R",'Mapa final'!#REF!),"")</f>
        <v>#REF!</v>
      </c>
      <c r="U28" s="384"/>
      <c r="V28" s="382" t="str">
        <f>IF(AND('Mapa final'!$I$38="Media",'Mapa final'!$M$38="Moderado"),CONCATENATE("R",'Mapa final'!$A$38),"")</f>
        <v/>
      </c>
      <c r="W28" s="383"/>
      <c r="X28" s="383" t="str">
        <f>IF(AND('Mapa final'!$I$140="Media",'Mapa final'!$M$140="Moderado"),CONCATENATE("R",'Mapa final'!$A$135),"")</f>
        <v/>
      </c>
      <c r="Y28" s="383"/>
      <c r="Z28" s="383" t="e">
        <f>IF(AND('Mapa final'!#REF!="Media",'Mapa final'!#REF!="Moderado"),CONCATENATE("R",'Mapa final'!#REF!),"")</f>
        <v>#REF!</v>
      </c>
      <c r="AA28" s="384"/>
      <c r="AB28" s="366" t="str">
        <f>IF(AND('Mapa final'!$I$38="Media",'Mapa final'!$M$38="Mayor"),CONCATENATE("R",'Mapa final'!$A$38),"")</f>
        <v/>
      </c>
      <c r="AC28" s="362"/>
      <c r="AD28" s="362" t="str">
        <f>IF(AND('Mapa final'!$I$140="Media",'Mapa final'!$M$140="Mayor"),CONCATENATE("R",'Mapa final'!$A$135),"")</f>
        <v/>
      </c>
      <c r="AE28" s="362"/>
      <c r="AF28" s="362" t="e">
        <f>IF(AND('Mapa final'!#REF!="Media",'Mapa final'!#REF!="Mayor"),CONCATENATE("R",'Mapa final'!#REF!),"")</f>
        <v>#REF!</v>
      </c>
      <c r="AG28" s="363"/>
      <c r="AH28" s="373" t="str">
        <f>IF(AND('Mapa final'!$I$38="Media",'Mapa final'!$M$38="Catastrófico"),CONCATENATE("R",'Mapa final'!$A$38),"")</f>
        <v/>
      </c>
      <c r="AI28" s="374"/>
      <c r="AJ28" s="374" t="str">
        <f>IF(AND('Mapa final'!$I$140="Media",'Mapa final'!$M$140="Catastrófico"),CONCATENATE("R",'Mapa final'!$A$135),"")</f>
        <v/>
      </c>
      <c r="AK28" s="374"/>
      <c r="AL28" s="374" t="e">
        <f>IF(AND('Mapa final'!#REF!="Media",'Mapa final'!#REF!="Catastrófico"),CONCATENATE("R",'Mapa final'!#REF!),"")</f>
        <v>#REF!</v>
      </c>
      <c r="AM28" s="375"/>
      <c r="AN28" s="82"/>
      <c r="AO28" s="338"/>
      <c r="AP28" s="339"/>
      <c r="AQ28" s="339"/>
      <c r="AR28" s="339"/>
      <c r="AS28" s="339"/>
      <c r="AT28" s="340"/>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315"/>
      <c r="C29" s="315"/>
      <c r="D29" s="316"/>
      <c r="E29" s="359"/>
      <c r="F29" s="360"/>
      <c r="G29" s="360"/>
      <c r="H29" s="360"/>
      <c r="I29" s="361"/>
      <c r="J29" s="382"/>
      <c r="K29" s="383"/>
      <c r="L29" s="383"/>
      <c r="M29" s="383"/>
      <c r="N29" s="383"/>
      <c r="O29" s="384"/>
      <c r="P29" s="385"/>
      <c r="Q29" s="386"/>
      <c r="R29" s="386"/>
      <c r="S29" s="386"/>
      <c r="T29" s="386"/>
      <c r="U29" s="387"/>
      <c r="V29" s="385"/>
      <c r="W29" s="386"/>
      <c r="X29" s="386"/>
      <c r="Y29" s="386"/>
      <c r="Z29" s="386"/>
      <c r="AA29" s="387"/>
      <c r="AB29" s="370"/>
      <c r="AC29" s="371"/>
      <c r="AD29" s="371"/>
      <c r="AE29" s="371"/>
      <c r="AF29" s="371"/>
      <c r="AG29" s="372"/>
      <c r="AH29" s="376"/>
      <c r="AI29" s="377"/>
      <c r="AJ29" s="377"/>
      <c r="AK29" s="377"/>
      <c r="AL29" s="377"/>
      <c r="AM29" s="378"/>
      <c r="AN29" s="82"/>
      <c r="AO29" s="341"/>
      <c r="AP29" s="342"/>
      <c r="AQ29" s="342"/>
      <c r="AR29" s="342"/>
      <c r="AS29" s="342"/>
      <c r="AT29" s="343"/>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315"/>
      <c r="C30" s="315"/>
      <c r="D30" s="316"/>
      <c r="E30" s="353" t="s">
        <v>113</v>
      </c>
      <c r="F30" s="354"/>
      <c r="G30" s="354"/>
      <c r="H30" s="354"/>
      <c r="I30" s="354"/>
      <c r="J30" s="397" t="str">
        <f>IF(AND('Mapa final'!$I$10="Baja",'Mapa final'!$M$10="Leve"),CONCATENATE("R",'Mapa final'!$A$10),"")</f>
        <v>R1</v>
      </c>
      <c r="K30" s="398"/>
      <c r="L30" s="398" t="str">
        <f>IF(AND('Mapa final'!$I$13="Baja",'Mapa final'!$M$13="Leve"),CONCATENATE("R",'Mapa final'!$A$13),"")</f>
        <v/>
      </c>
      <c r="M30" s="398"/>
      <c r="N30" s="398" t="str">
        <f>IF(AND('Mapa final'!$I$17="Baja",'Mapa final'!$M$17="Leve"),CONCATENATE("R",'Mapa final'!$A$17),"")</f>
        <v/>
      </c>
      <c r="O30" s="399"/>
      <c r="P30" s="389" t="str">
        <f>IF(AND('Mapa final'!$I$10="Baja",'Mapa final'!$M$10="Menor"),CONCATENATE("R",'Mapa final'!$A$10),"")</f>
        <v/>
      </c>
      <c r="Q30" s="389"/>
      <c r="R30" s="389" t="str">
        <f>IF(AND('Mapa final'!$I$13="Baja",'Mapa final'!$M$13="Menor"),CONCATENATE("R",'Mapa final'!$A$13),"")</f>
        <v/>
      </c>
      <c r="S30" s="389"/>
      <c r="T30" s="389" t="str">
        <f>IF(AND('Mapa final'!$I$17="Baja",'Mapa final'!$M$17="Menor"),CONCATENATE("R",'Mapa final'!$A$17),"")</f>
        <v/>
      </c>
      <c r="U30" s="390"/>
      <c r="V30" s="388" t="str">
        <f>IF(AND('Mapa final'!$I$10="Baja",'Mapa final'!$M$10="Moderado"),CONCATENATE("R",'Mapa final'!$A$10),"")</f>
        <v/>
      </c>
      <c r="W30" s="389"/>
      <c r="X30" s="389" t="str">
        <f>IF(AND('Mapa final'!$I$13="Baja",'Mapa final'!$M$13="Moderado"),CONCATENATE("R",'Mapa final'!$A$13),"")</f>
        <v/>
      </c>
      <c r="Y30" s="389"/>
      <c r="Z30" s="389" t="str">
        <f>IF(AND('Mapa final'!$I$17="Baja",'Mapa final'!$M$17="Moderado"),CONCATENATE("R",'Mapa final'!$A$17),"")</f>
        <v/>
      </c>
      <c r="AA30" s="390"/>
      <c r="AB30" s="364" t="str">
        <f>IF(AND('Mapa final'!$I$10="Baja",'Mapa final'!$M$10="Mayor"),CONCATENATE("R",'Mapa final'!$A$10),"")</f>
        <v/>
      </c>
      <c r="AC30" s="365"/>
      <c r="AD30" s="365" t="str">
        <f>IF(AND('Mapa final'!$I$13="Baja",'Mapa final'!$M$13="Mayor"),CONCATENATE("R",'Mapa final'!$A$13),"")</f>
        <v/>
      </c>
      <c r="AE30" s="365"/>
      <c r="AF30" s="365" t="str">
        <f>IF(AND('Mapa final'!$I$17="Baja",'Mapa final'!$M$17="Mayor"),CONCATENATE("R",'Mapa final'!$A$17),"")</f>
        <v/>
      </c>
      <c r="AG30" s="367"/>
      <c r="AH30" s="379" t="str">
        <f>IF(AND('Mapa final'!$I$10="Baja",'Mapa final'!$M$10="Catastrófico"),CONCATENATE("R",'Mapa final'!$A$10),"")</f>
        <v/>
      </c>
      <c r="AI30" s="380"/>
      <c r="AJ30" s="380" t="str">
        <f>IF(AND('Mapa final'!$I$13="Baja",'Mapa final'!$M$13="Catastrófico"),CONCATENATE("R",'Mapa final'!$A$13),"")</f>
        <v/>
      </c>
      <c r="AK30" s="380"/>
      <c r="AL30" s="380" t="str">
        <f>IF(AND('Mapa final'!$I$17="Baja",'Mapa final'!$M$17="Catastrófico"),CONCATENATE("R",'Mapa final'!$A$17),"")</f>
        <v/>
      </c>
      <c r="AM30" s="381"/>
      <c r="AN30" s="82"/>
      <c r="AO30" s="344" t="s">
        <v>81</v>
      </c>
      <c r="AP30" s="345"/>
      <c r="AQ30" s="345"/>
      <c r="AR30" s="345"/>
      <c r="AS30" s="345"/>
      <c r="AT30" s="346"/>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315"/>
      <c r="C31" s="315"/>
      <c r="D31" s="316"/>
      <c r="E31" s="356"/>
      <c r="F31" s="357"/>
      <c r="G31" s="357"/>
      <c r="H31" s="357"/>
      <c r="I31" s="357"/>
      <c r="J31" s="393"/>
      <c r="K31" s="391"/>
      <c r="L31" s="391"/>
      <c r="M31" s="391"/>
      <c r="N31" s="391"/>
      <c r="O31" s="392"/>
      <c r="P31" s="383"/>
      <c r="Q31" s="383"/>
      <c r="R31" s="383"/>
      <c r="S31" s="383"/>
      <c r="T31" s="383"/>
      <c r="U31" s="384"/>
      <c r="V31" s="382"/>
      <c r="W31" s="383"/>
      <c r="X31" s="383"/>
      <c r="Y31" s="383"/>
      <c r="Z31" s="383"/>
      <c r="AA31" s="384"/>
      <c r="AB31" s="366"/>
      <c r="AC31" s="362"/>
      <c r="AD31" s="362"/>
      <c r="AE31" s="362"/>
      <c r="AF31" s="362"/>
      <c r="AG31" s="363"/>
      <c r="AH31" s="373"/>
      <c r="AI31" s="374"/>
      <c r="AJ31" s="374"/>
      <c r="AK31" s="374"/>
      <c r="AL31" s="374"/>
      <c r="AM31" s="375"/>
      <c r="AN31" s="82"/>
      <c r="AO31" s="347"/>
      <c r="AP31" s="348"/>
      <c r="AQ31" s="348"/>
      <c r="AR31" s="348"/>
      <c r="AS31" s="348"/>
      <c r="AT31" s="349"/>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315"/>
      <c r="C32" s="315"/>
      <c r="D32" s="316"/>
      <c r="E32" s="356"/>
      <c r="F32" s="357"/>
      <c r="G32" s="357"/>
      <c r="H32" s="357"/>
      <c r="I32" s="357"/>
      <c r="J32" s="393" t="str">
        <f>IF(AND('Mapa final'!$I$20="Baja",'Mapa final'!$M$20="Leve"),CONCATENATE("R",'Mapa final'!$A$20),"")</f>
        <v>R4</v>
      </c>
      <c r="K32" s="391"/>
      <c r="L32" s="391" t="str">
        <f>IF(AND('Mapa final'!$I$21="Baja",'Mapa final'!$M$21="Leve"),CONCATENATE("R",'Mapa final'!$A$21),"")</f>
        <v/>
      </c>
      <c r="M32" s="391"/>
      <c r="N32" s="391" t="str">
        <f>IF(AND('Mapa final'!$I$35="Baja",'Mapa final'!$M$35="Leve"),CONCATENATE("R",'Mapa final'!$A$35),"")</f>
        <v/>
      </c>
      <c r="O32" s="392"/>
      <c r="P32" s="383" t="str">
        <f>IF(AND('Mapa final'!$I$20="Baja",'Mapa final'!$M$20="Menor"),CONCATENATE("R",'Mapa final'!$A$20),"")</f>
        <v/>
      </c>
      <c r="Q32" s="383"/>
      <c r="R32" s="383" t="str">
        <f>IF(AND('Mapa final'!$I$21="Baja",'Mapa final'!$M$21="Menor"),CONCATENATE("R",'Mapa final'!$A$21),"")</f>
        <v/>
      </c>
      <c r="S32" s="383"/>
      <c r="T32" s="383" t="str">
        <f>IF(AND('Mapa final'!$I$35="Baja",'Mapa final'!$M$35="Menor"),CONCATENATE("R",'Mapa final'!$A$35),"")</f>
        <v/>
      </c>
      <c r="U32" s="384"/>
      <c r="V32" s="382" t="str">
        <f>IF(AND('Mapa final'!$I$20="Baja",'Mapa final'!$M$20="Moderado"),CONCATENATE("R",'Mapa final'!$A$20),"")</f>
        <v/>
      </c>
      <c r="W32" s="383"/>
      <c r="X32" s="383" t="str">
        <f>IF(AND('Mapa final'!$I$21="Baja",'Mapa final'!$M$21="Moderado"),CONCATENATE("R",'Mapa final'!$A$21),"")</f>
        <v/>
      </c>
      <c r="Y32" s="383"/>
      <c r="Z32" s="383" t="str">
        <f>IF(AND('Mapa final'!$I$35="Baja",'Mapa final'!$M$35="Moderado"),CONCATENATE("R",'Mapa final'!$A$35),"")</f>
        <v/>
      </c>
      <c r="AA32" s="384"/>
      <c r="AB32" s="366" t="str">
        <f>IF(AND('Mapa final'!$I$20="Baja",'Mapa final'!$M$20="Mayor"),CONCATENATE("R",'Mapa final'!$A$20),"")</f>
        <v/>
      </c>
      <c r="AC32" s="362"/>
      <c r="AD32" s="362" t="str">
        <f>IF(AND('Mapa final'!$I$21="Baja",'Mapa final'!$M$21="Mayor"),CONCATENATE("R",'Mapa final'!$A$21),"")</f>
        <v/>
      </c>
      <c r="AE32" s="362"/>
      <c r="AF32" s="362" t="str">
        <f>IF(AND('Mapa final'!$I$35="Baja",'Mapa final'!$M$35="Mayor"),CONCATENATE("R",'Mapa final'!$A$35),"")</f>
        <v/>
      </c>
      <c r="AG32" s="363"/>
      <c r="AH32" s="373" t="str">
        <f>IF(AND('Mapa final'!$I$20="Baja",'Mapa final'!$M$20="Catastrófico"),CONCATENATE("R",'Mapa final'!$A$20),"")</f>
        <v/>
      </c>
      <c r="AI32" s="374"/>
      <c r="AJ32" s="374" t="str">
        <f>IF(AND('Mapa final'!$I$21="Baja",'Mapa final'!$M$21="Catastrófico"),CONCATENATE("R",'Mapa final'!$A$21),"")</f>
        <v/>
      </c>
      <c r="AK32" s="374"/>
      <c r="AL32" s="374" t="str">
        <f>IF(AND('Mapa final'!$I$35="Baja",'Mapa final'!$M$35="Catastrófico"),CONCATENATE("R",'Mapa final'!$A$35),"")</f>
        <v/>
      </c>
      <c r="AM32" s="375"/>
      <c r="AN32" s="82"/>
      <c r="AO32" s="347"/>
      <c r="AP32" s="348"/>
      <c r="AQ32" s="348"/>
      <c r="AR32" s="348"/>
      <c r="AS32" s="348"/>
      <c r="AT32" s="349"/>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315"/>
      <c r="C33" s="315"/>
      <c r="D33" s="316"/>
      <c r="E33" s="356"/>
      <c r="F33" s="357"/>
      <c r="G33" s="357"/>
      <c r="H33" s="357"/>
      <c r="I33" s="357"/>
      <c r="J33" s="393"/>
      <c r="K33" s="391"/>
      <c r="L33" s="391"/>
      <c r="M33" s="391"/>
      <c r="N33" s="391"/>
      <c r="O33" s="392"/>
      <c r="P33" s="383"/>
      <c r="Q33" s="383"/>
      <c r="R33" s="383"/>
      <c r="S33" s="383"/>
      <c r="T33" s="383"/>
      <c r="U33" s="384"/>
      <c r="V33" s="382"/>
      <c r="W33" s="383"/>
      <c r="X33" s="383"/>
      <c r="Y33" s="383"/>
      <c r="Z33" s="383"/>
      <c r="AA33" s="384"/>
      <c r="AB33" s="366"/>
      <c r="AC33" s="362"/>
      <c r="AD33" s="362"/>
      <c r="AE33" s="362"/>
      <c r="AF33" s="362"/>
      <c r="AG33" s="363"/>
      <c r="AH33" s="373"/>
      <c r="AI33" s="374"/>
      <c r="AJ33" s="374"/>
      <c r="AK33" s="374"/>
      <c r="AL33" s="374"/>
      <c r="AM33" s="375"/>
      <c r="AN33" s="82"/>
      <c r="AO33" s="347"/>
      <c r="AP33" s="348"/>
      <c r="AQ33" s="348"/>
      <c r="AR33" s="348"/>
      <c r="AS33" s="348"/>
      <c r="AT33" s="349"/>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315"/>
      <c r="C34" s="315"/>
      <c r="D34" s="316"/>
      <c r="E34" s="356"/>
      <c r="F34" s="357"/>
      <c r="G34" s="357"/>
      <c r="H34" s="357"/>
      <c r="I34" s="357"/>
      <c r="J34" s="393" t="str">
        <f>IF(AND('Mapa final'!$I$36="Baja",'Mapa final'!$M$36="Leve"),CONCATENATE("R",'Mapa final'!$A$36),"")</f>
        <v/>
      </c>
      <c r="K34" s="391"/>
      <c r="L34" s="391" t="e">
        <f>IF(AND('Mapa final'!#REF!="Baja",'Mapa final'!#REF!="Leve"),CONCATENATE("R",'Mapa final'!#REF!),"")</f>
        <v>#REF!</v>
      </c>
      <c r="M34" s="391"/>
      <c r="N34" s="391" t="str">
        <f>IF(AND('Mapa final'!$I$37="Baja",'Mapa final'!$M$37="Leve"),CONCATENATE("R",'Mapa final'!$A$37),"")</f>
        <v/>
      </c>
      <c r="O34" s="392"/>
      <c r="P34" s="383" t="str">
        <f>IF(AND('Mapa final'!$I$36="Baja",'Mapa final'!$M$36="Menor"),CONCATENATE("R",'Mapa final'!$A$36),"")</f>
        <v>R9</v>
      </c>
      <c r="Q34" s="383"/>
      <c r="R34" s="383" t="e">
        <f>IF(AND('Mapa final'!#REF!="Baja",'Mapa final'!#REF!="Menor"),CONCATENATE("R",'Mapa final'!#REF!),"")</f>
        <v>#REF!</v>
      </c>
      <c r="S34" s="383"/>
      <c r="T34" s="383" t="str">
        <f>IF(AND('Mapa final'!$I$37="Baja",'Mapa final'!$M$37="Menor"),CONCATENATE("R",'Mapa final'!$A$37),"")</f>
        <v/>
      </c>
      <c r="U34" s="384"/>
      <c r="V34" s="382" t="str">
        <f>IF(AND('Mapa final'!$I$36="Baja",'Mapa final'!$M$36="Moderado"),CONCATENATE("R",'Mapa final'!$A$36),"")</f>
        <v/>
      </c>
      <c r="W34" s="383"/>
      <c r="X34" s="383" t="e">
        <f>IF(AND('Mapa final'!#REF!="Baja",'Mapa final'!#REF!="Moderado"),CONCATENATE("R",'Mapa final'!#REF!),"")</f>
        <v>#REF!</v>
      </c>
      <c r="Y34" s="383"/>
      <c r="Z34" s="383" t="str">
        <f>IF(AND('Mapa final'!$I$37="Baja",'Mapa final'!$M$37="Moderado"),CONCATENATE("R",'Mapa final'!$A$37),"")</f>
        <v/>
      </c>
      <c r="AA34" s="384"/>
      <c r="AB34" s="366" t="str">
        <f>IF(AND('Mapa final'!$I$36="Baja",'Mapa final'!$M$36="Mayor"),CONCATENATE("R",'Mapa final'!$A$36),"")</f>
        <v/>
      </c>
      <c r="AC34" s="362"/>
      <c r="AD34" s="362" t="e">
        <f>IF(AND('Mapa final'!#REF!="Baja",'Mapa final'!#REF!="Mayor"),CONCATENATE("R",'Mapa final'!#REF!),"")</f>
        <v>#REF!</v>
      </c>
      <c r="AE34" s="362"/>
      <c r="AF34" s="362" t="str">
        <f>IF(AND('Mapa final'!$I$37="Baja",'Mapa final'!$M$37="Mayor"),CONCATENATE("R",'Mapa final'!$A$37),"")</f>
        <v>R10</v>
      </c>
      <c r="AG34" s="363"/>
      <c r="AH34" s="373" t="str">
        <f>IF(AND('Mapa final'!$I$36="Baja",'Mapa final'!$M$36="Catastrófico"),CONCATENATE("R",'Mapa final'!$A$36),"")</f>
        <v/>
      </c>
      <c r="AI34" s="374"/>
      <c r="AJ34" s="374" t="e">
        <f>IF(AND('Mapa final'!#REF!="Baja",'Mapa final'!#REF!="Catastrófico"),CONCATENATE("R",'Mapa final'!#REF!),"")</f>
        <v>#REF!</v>
      </c>
      <c r="AK34" s="374"/>
      <c r="AL34" s="374" t="str">
        <f>IF(AND('Mapa final'!$I$37="Baja",'Mapa final'!$M$37="Catastrófico"),CONCATENATE("R",'Mapa final'!$A$37),"")</f>
        <v/>
      </c>
      <c r="AM34" s="375"/>
      <c r="AN34" s="82"/>
      <c r="AO34" s="347"/>
      <c r="AP34" s="348"/>
      <c r="AQ34" s="348"/>
      <c r="AR34" s="348"/>
      <c r="AS34" s="348"/>
      <c r="AT34" s="349"/>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315"/>
      <c r="C35" s="315"/>
      <c r="D35" s="316"/>
      <c r="E35" s="356"/>
      <c r="F35" s="357"/>
      <c r="G35" s="357"/>
      <c r="H35" s="357"/>
      <c r="I35" s="357"/>
      <c r="J35" s="393"/>
      <c r="K35" s="391"/>
      <c r="L35" s="391"/>
      <c r="M35" s="391"/>
      <c r="N35" s="391"/>
      <c r="O35" s="392"/>
      <c r="P35" s="383"/>
      <c r="Q35" s="383"/>
      <c r="R35" s="383"/>
      <c r="S35" s="383"/>
      <c r="T35" s="383"/>
      <c r="U35" s="384"/>
      <c r="V35" s="382"/>
      <c r="W35" s="383"/>
      <c r="X35" s="383"/>
      <c r="Y35" s="383"/>
      <c r="Z35" s="383"/>
      <c r="AA35" s="384"/>
      <c r="AB35" s="366"/>
      <c r="AC35" s="362"/>
      <c r="AD35" s="362"/>
      <c r="AE35" s="362"/>
      <c r="AF35" s="362"/>
      <c r="AG35" s="363"/>
      <c r="AH35" s="373"/>
      <c r="AI35" s="374"/>
      <c r="AJ35" s="374"/>
      <c r="AK35" s="374"/>
      <c r="AL35" s="374"/>
      <c r="AM35" s="375"/>
      <c r="AN35" s="82"/>
      <c r="AO35" s="347"/>
      <c r="AP35" s="348"/>
      <c r="AQ35" s="348"/>
      <c r="AR35" s="348"/>
      <c r="AS35" s="348"/>
      <c r="AT35" s="349"/>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315"/>
      <c r="C36" s="315"/>
      <c r="D36" s="316"/>
      <c r="E36" s="356"/>
      <c r="F36" s="357"/>
      <c r="G36" s="357"/>
      <c r="H36" s="357"/>
      <c r="I36" s="357"/>
      <c r="J36" s="393" t="str">
        <f>IF(AND('Mapa final'!$I$38="Baja",'Mapa final'!$M$38="Leve"),CONCATENATE("R",'Mapa final'!$A$38),"")</f>
        <v/>
      </c>
      <c r="K36" s="391"/>
      <c r="L36" s="391" t="str">
        <f>IF(AND('Mapa final'!$I$140="Baja",'Mapa final'!$M$140="Leve"),CONCATENATE("R",'Mapa final'!$A$135),"")</f>
        <v/>
      </c>
      <c r="M36" s="391"/>
      <c r="N36" s="391" t="e">
        <f>IF(AND('Mapa final'!#REF!="Baja",'Mapa final'!#REF!="Leve"),CONCATENATE("R",'Mapa final'!#REF!),"")</f>
        <v>#REF!</v>
      </c>
      <c r="O36" s="392"/>
      <c r="P36" s="383" t="str">
        <f>IF(AND('Mapa final'!$I$38="Baja",'Mapa final'!$M$38="Menor"),CONCATENATE("R",'Mapa final'!$A$38),"")</f>
        <v/>
      </c>
      <c r="Q36" s="383"/>
      <c r="R36" s="383" t="str">
        <f>IF(AND('Mapa final'!$I$140="Baja",'Mapa final'!$M$140="Menor"),CONCATENATE("R",'Mapa final'!$A$135),"")</f>
        <v/>
      </c>
      <c r="S36" s="383"/>
      <c r="T36" s="383" t="e">
        <f>IF(AND('Mapa final'!#REF!="Baja",'Mapa final'!#REF!="Menor"),CONCATENATE("R",'Mapa final'!#REF!),"")</f>
        <v>#REF!</v>
      </c>
      <c r="U36" s="384"/>
      <c r="V36" s="382" t="str">
        <f>IF(AND('Mapa final'!$I$38="Baja",'Mapa final'!$M$38="Moderado"),CONCATENATE("R",'Mapa final'!$A$38),"")</f>
        <v/>
      </c>
      <c r="W36" s="383"/>
      <c r="X36" s="383" t="str">
        <f>IF(AND('Mapa final'!$I$140="Baja",'Mapa final'!$M$140="Moderado"),CONCATENATE("R",'Mapa final'!$A$135),"")</f>
        <v/>
      </c>
      <c r="Y36" s="383"/>
      <c r="Z36" s="383" t="e">
        <f>IF(AND('Mapa final'!#REF!="Baja",'Mapa final'!#REF!="Moderado"),CONCATENATE("R",'Mapa final'!#REF!),"")</f>
        <v>#REF!</v>
      </c>
      <c r="AA36" s="384"/>
      <c r="AB36" s="366" t="str">
        <f>IF(AND('Mapa final'!$I$38="Baja",'Mapa final'!$M$38="Mayor"),CONCATENATE("R",'Mapa final'!$A$38),"")</f>
        <v/>
      </c>
      <c r="AC36" s="362"/>
      <c r="AD36" s="362" t="str">
        <f>IF(AND('Mapa final'!$I$140="Baja",'Mapa final'!$M$140="Mayor"),CONCATENATE("R",'Mapa final'!$A$135),"")</f>
        <v/>
      </c>
      <c r="AE36" s="362"/>
      <c r="AF36" s="362" t="e">
        <f>IF(AND('Mapa final'!#REF!="Baja",'Mapa final'!#REF!="Mayor"),CONCATENATE("R",'Mapa final'!#REF!),"")</f>
        <v>#REF!</v>
      </c>
      <c r="AG36" s="363"/>
      <c r="AH36" s="373" t="str">
        <f>IF(AND('Mapa final'!$I$38="Baja",'Mapa final'!$M$38="Catastrófico"),CONCATENATE("R",'Mapa final'!$A$38),"")</f>
        <v/>
      </c>
      <c r="AI36" s="374"/>
      <c r="AJ36" s="374" t="str">
        <f>IF(AND('Mapa final'!$I$140="Baja",'Mapa final'!$M$140="Catastrófico"),CONCATENATE("R",'Mapa final'!$A$135),"")</f>
        <v/>
      </c>
      <c r="AK36" s="374"/>
      <c r="AL36" s="374" t="e">
        <f>IF(AND('Mapa final'!#REF!="Baja",'Mapa final'!#REF!="Catastrófico"),CONCATENATE("R",'Mapa final'!#REF!),"")</f>
        <v>#REF!</v>
      </c>
      <c r="AM36" s="375"/>
      <c r="AN36" s="82"/>
      <c r="AO36" s="347"/>
      <c r="AP36" s="348"/>
      <c r="AQ36" s="348"/>
      <c r="AR36" s="348"/>
      <c r="AS36" s="348"/>
      <c r="AT36" s="349"/>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315"/>
      <c r="C37" s="315"/>
      <c r="D37" s="316"/>
      <c r="E37" s="359"/>
      <c r="F37" s="360"/>
      <c r="G37" s="360"/>
      <c r="H37" s="360"/>
      <c r="I37" s="360"/>
      <c r="J37" s="394"/>
      <c r="K37" s="395"/>
      <c r="L37" s="395"/>
      <c r="M37" s="395"/>
      <c r="N37" s="395"/>
      <c r="O37" s="396"/>
      <c r="P37" s="386"/>
      <c r="Q37" s="386"/>
      <c r="R37" s="386"/>
      <c r="S37" s="386"/>
      <c r="T37" s="386"/>
      <c r="U37" s="387"/>
      <c r="V37" s="385"/>
      <c r="W37" s="386"/>
      <c r="X37" s="386"/>
      <c r="Y37" s="386"/>
      <c r="Z37" s="386"/>
      <c r="AA37" s="387"/>
      <c r="AB37" s="370"/>
      <c r="AC37" s="371"/>
      <c r="AD37" s="371"/>
      <c r="AE37" s="371"/>
      <c r="AF37" s="371"/>
      <c r="AG37" s="372"/>
      <c r="AH37" s="376"/>
      <c r="AI37" s="377"/>
      <c r="AJ37" s="377"/>
      <c r="AK37" s="377"/>
      <c r="AL37" s="377"/>
      <c r="AM37" s="378"/>
      <c r="AN37" s="82"/>
      <c r="AO37" s="350"/>
      <c r="AP37" s="351"/>
      <c r="AQ37" s="351"/>
      <c r="AR37" s="351"/>
      <c r="AS37" s="351"/>
      <c r="AT37" s="35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315"/>
      <c r="C38" s="315"/>
      <c r="D38" s="316"/>
      <c r="E38" s="353" t="s">
        <v>112</v>
      </c>
      <c r="F38" s="354"/>
      <c r="G38" s="354"/>
      <c r="H38" s="354"/>
      <c r="I38" s="355"/>
      <c r="J38" s="397" t="str">
        <f>IF(AND('Mapa final'!$I$10="Muy Baja",'Mapa final'!$M$10="Leve"),CONCATENATE("R",'Mapa final'!$A$10),"")</f>
        <v/>
      </c>
      <c r="K38" s="398"/>
      <c r="L38" s="398" t="str">
        <f>IF(AND('Mapa final'!$I$13="Muy Baja",'Mapa final'!$M$13="Leve"),CONCATENATE("R",'Mapa final'!$A$13),"")</f>
        <v>R2</v>
      </c>
      <c r="M38" s="398"/>
      <c r="N38" s="398" t="str">
        <f>IF(AND('Mapa final'!$I$17="Muy Baja",'Mapa final'!$M$17="Leve"),CONCATENATE("R",'Mapa final'!$A$17),"")</f>
        <v/>
      </c>
      <c r="O38" s="399"/>
      <c r="P38" s="397" t="str">
        <f>IF(AND('Mapa final'!$I$10="Muy Baja",'Mapa final'!$M$10="Menor"),CONCATENATE("R",'Mapa final'!$A$10),"")</f>
        <v/>
      </c>
      <c r="Q38" s="398"/>
      <c r="R38" s="398" t="str">
        <f>IF(AND('Mapa final'!$I$13="Muy Baja",'Mapa final'!$M$13="Menor"),CONCATENATE("R",'Mapa final'!$A$13),"")</f>
        <v/>
      </c>
      <c r="S38" s="398"/>
      <c r="T38" s="398" t="str">
        <f>IF(AND('Mapa final'!$I$17="Muy Baja",'Mapa final'!$M$17="Menor"),CONCATENATE("R",'Mapa final'!$A$17),"")</f>
        <v/>
      </c>
      <c r="U38" s="399"/>
      <c r="V38" s="388" t="str">
        <f>IF(AND('Mapa final'!$I$10="Muy Baja",'Mapa final'!$M$10="Moderado"),CONCATENATE("R",'Mapa final'!$A$10),"")</f>
        <v/>
      </c>
      <c r="W38" s="389"/>
      <c r="X38" s="389" t="str">
        <f>IF(AND('Mapa final'!$I$13="Muy Baja",'Mapa final'!$M$13="Moderado"),CONCATENATE("R",'Mapa final'!$A$13),"")</f>
        <v/>
      </c>
      <c r="Y38" s="389"/>
      <c r="Z38" s="389" t="str">
        <f>IF(AND('Mapa final'!$I$17="Muy Baja",'Mapa final'!$M$17="Moderado"),CONCATENATE("R",'Mapa final'!$A$17),"")</f>
        <v/>
      </c>
      <c r="AA38" s="390"/>
      <c r="AB38" s="364" t="str">
        <f>IF(AND('Mapa final'!$I$10="Muy Baja",'Mapa final'!$M$10="Mayor"),CONCATENATE("R",'Mapa final'!$A$10),"")</f>
        <v/>
      </c>
      <c r="AC38" s="365"/>
      <c r="AD38" s="365" t="str">
        <f>IF(AND('Mapa final'!$I$13="Muy Baja",'Mapa final'!$M$13="Mayor"),CONCATENATE("R",'Mapa final'!$A$13),"")</f>
        <v/>
      </c>
      <c r="AE38" s="365"/>
      <c r="AF38" s="365" t="str">
        <f>IF(AND('Mapa final'!$I$17="Muy Baja",'Mapa final'!$M$17="Mayor"),CONCATENATE("R",'Mapa final'!$A$17),"")</f>
        <v/>
      </c>
      <c r="AG38" s="367"/>
      <c r="AH38" s="379" t="str">
        <f>IF(AND('Mapa final'!$I$10="Muy Baja",'Mapa final'!$M$10="Catastrófico"),CONCATENATE("R",'Mapa final'!$A$10),"")</f>
        <v/>
      </c>
      <c r="AI38" s="380"/>
      <c r="AJ38" s="380" t="str">
        <f>IF(AND('Mapa final'!$I$13="Muy Baja",'Mapa final'!$M$13="Catastrófico"),CONCATENATE("R",'Mapa final'!$A$13),"")</f>
        <v/>
      </c>
      <c r="AK38" s="380"/>
      <c r="AL38" s="380" t="str">
        <f>IF(AND('Mapa final'!$I$17="Muy Baja",'Mapa final'!$M$17="Catastrófico"),CONCATENATE("R",'Mapa final'!$A$17),"")</f>
        <v/>
      </c>
      <c r="AM38" s="381"/>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315"/>
      <c r="C39" s="315"/>
      <c r="D39" s="316"/>
      <c r="E39" s="356"/>
      <c r="F39" s="357"/>
      <c r="G39" s="357"/>
      <c r="H39" s="357"/>
      <c r="I39" s="358"/>
      <c r="J39" s="393"/>
      <c r="K39" s="391"/>
      <c r="L39" s="391"/>
      <c r="M39" s="391"/>
      <c r="N39" s="391"/>
      <c r="O39" s="392"/>
      <c r="P39" s="393"/>
      <c r="Q39" s="391"/>
      <c r="R39" s="391"/>
      <c r="S39" s="391"/>
      <c r="T39" s="391"/>
      <c r="U39" s="392"/>
      <c r="V39" s="382"/>
      <c r="W39" s="383"/>
      <c r="X39" s="383"/>
      <c r="Y39" s="383"/>
      <c r="Z39" s="383"/>
      <c r="AA39" s="384"/>
      <c r="AB39" s="366"/>
      <c r="AC39" s="362"/>
      <c r="AD39" s="362"/>
      <c r="AE39" s="362"/>
      <c r="AF39" s="362"/>
      <c r="AG39" s="363"/>
      <c r="AH39" s="373"/>
      <c r="AI39" s="374"/>
      <c r="AJ39" s="374"/>
      <c r="AK39" s="374"/>
      <c r="AL39" s="374"/>
      <c r="AM39" s="375"/>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315"/>
      <c r="C40" s="315"/>
      <c r="D40" s="316"/>
      <c r="E40" s="356"/>
      <c r="F40" s="357"/>
      <c r="G40" s="357"/>
      <c r="H40" s="357"/>
      <c r="I40" s="358"/>
      <c r="J40" s="393" t="str">
        <f>IF(AND('Mapa final'!$I$20="Muy Baja",'Mapa final'!$M$20="Leve"),CONCATENATE("R",'Mapa final'!$A$20),"")</f>
        <v/>
      </c>
      <c r="K40" s="391"/>
      <c r="L40" s="391" t="str">
        <f>IF(AND('Mapa final'!$I$21="Muy Baja",'Mapa final'!$M$21="Leve"),CONCATENATE("R",'Mapa final'!$A$21),"")</f>
        <v/>
      </c>
      <c r="M40" s="391"/>
      <c r="N40" s="391" t="str">
        <f>IF(AND('Mapa final'!$I$35="Muy Baja",'Mapa final'!$M$35="Leve"),CONCATENATE("R",'Mapa final'!$A$35),"")</f>
        <v/>
      </c>
      <c r="O40" s="392"/>
      <c r="P40" s="393" t="str">
        <f>IF(AND('Mapa final'!$I$20="Muy Baja",'Mapa final'!$M$20="Menor"),CONCATENATE("R",'Mapa final'!$A$20),"")</f>
        <v/>
      </c>
      <c r="Q40" s="391"/>
      <c r="R40" s="391" t="str">
        <f>IF(AND('Mapa final'!$I$21="Muy Baja",'Mapa final'!$M$21="Menor"),CONCATENATE("R",'Mapa final'!$A$21),"")</f>
        <v/>
      </c>
      <c r="S40" s="391"/>
      <c r="T40" s="391" t="str">
        <f>IF(AND('Mapa final'!$I$35="Muy Baja",'Mapa final'!$M$35="Menor"),CONCATENATE("R",'Mapa final'!$A$35),"")</f>
        <v/>
      </c>
      <c r="U40" s="392"/>
      <c r="V40" s="382" t="str">
        <f>IF(AND('Mapa final'!$I$20="Muy Baja",'Mapa final'!$M$20="Moderado"),CONCATENATE("R",'Mapa final'!$A$20),"")</f>
        <v/>
      </c>
      <c r="W40" s="383"/>
      <c r="X40" s="383" t="str">
        <f>IF(AND('Mapa final'!$I$21="Muy Baja",'Mapa final'!$M$21="Moderado"),CONCATENATE("R",'Mapa final'!$A$21),"")</f>
        <v/>
      </c>
      <c r="Y40" s="383"/>
      <c r="Z40" s="383" t="str">
        <f>IF(AND('Mapa final'!$I$35="Muy Baja",'Mapa final'!$M$35="Moderado"),CONCATENATE("R",'Mapa final'!$A$35),"")</f>
        <v/>
      </c>
      <c r="AA40" s="384"/>
      <c r="AB40" s="366" t="str">
        <f>IF(AND('Mapa final'!$I$20="Muy Baja",'Mapa final'!$M$20="Mayor"),CONCATENATE("R",'Mapa final'!$A$20),"")</f>
        <v/>
      </c>
      <c r="AC40" s="362"/>
      <c r="AD40" s="362" t="str">
        <f>IF(AND('Mapa final'!$I$21="Muy Baja",'Mapa final'!$M$21="Mayor"),CONCATENATE("R",'Mapa final'!$A$21),"")</f>
        <v/>
      </c>
      <c r="AE40" s="362"/>
      <c r="AF40" s="362" t="str">
        <f>IF(AND('Mapa final'!$I$35="Muy Baja",'Mapa final'!$M$35="Mayor"),CONCATENATE("R",'Mapa final'!$A$35),"")</f>
        <v/>
      </c>
      <c r="AG40" s="363"/>
      <c r="AH40" s="373" t="str">
        <f>IF(AND('Mapa final'!$I$20="Muy Baja",'Mapa final'!$M$20="Catastrófico"),CONCATENATE("R",'Mapa final'!$A$20),"")</f>
        <v/>
      </c>
      <c r="AI40" s="374"/>
      <c r="AJ40" s="374" t="str">
        <f>IF(AND('Mapa final'!$I$21="Muy Baja",'Mapa final'!$M$21="Catastrófico"),CONCATENATE("R",'Mapa final'!$A$21),"")</f>
        <v/>
      </c>
      <c r="AK40" s="374"/>
      <c r="AL40" s="374" t="str">
        <f>IF(AND('Mapa final'!$I$35="Muy Baja",'Mapa final'!$M$35="Catastrófico"),CONCATENATE("R",'Mapa final'!$A$35),"")</f>
        <v/>
      </c>
      <c r="AM40" s="375"/>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315"/>
      <c r="C41" s="315"/>
      <c r="D41" s="316"/>
      <c r="E41" s="356"/>
      <c r="F41" s="357"/>
      <c r="G41" s="357"/>
      <c r="H41" s="357"/>
      <c r="I41" s="358"/>
      <c r="J41" s="393"/>
      <c r="K41" s="391"/>
      <c r="L41" s="391"/>
      <c r="M41" s="391"/>
      <c r="N41" s="391"/>
      <c r="O41" s="392"/>
      <c r="P41" s="393"/>
      <c r="Q41" s="391"/>
      <c r="R41" s="391"/>
      <c r="S41" s="391"/>
      <c r="T41" s="391"/>
      <c r="U41" s="392"/>
      <c r="V41" s="382"/>
      <c r="W41" s="383"/>
      <c r="X41" s="383"/>
      <c r="Y41" s="383"/>
      <c r="Z41" s="383"/>
      <c r="AA41" s="384"/>
      <c r="AB41" s="366"/>
      <c r="AC41" s="362"/>
      <c r="AD41" s="362"/>
      <c r="AE41" s="362"/>
      <c r="AF41" s="362"/>
      <c r="AG41" s="363"/>
      <c r="AH41" s="373"/>
      <c r="AI41" s="374"/>
      <c r="AJ41" s="374"/>
      <c r="AK41" s="374"/>
      <c r="AL41" s="374"/>
      <c r="AM41" s="375"/>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315"/>
      <c r="C42" s="315"/>
      <c r="D42" s="316"/>
      <c r="E42" s="356"/>
      <c r="F42" s="357"/>
      <c r="G42" s="357"/>
      <c r="H42" s="357"/>
      <c r="I42" s="358"/>
      <c r="J42" s="393" t="str">
        <f>IF(AND('Mapa final'!$I$36="Muy Baja",'Mapa final'!$M$36="Leve"),CONCATENATE("R",'Mapa final'!$A$36),"")</f>
        <v/>
      </c>
      <c r="K42" s="391"/>
      <c r="L42" s="391" t="e">
        <f>IF(AND('Mapa final'!#REF!="Muy Baja",'Mapa final'!#REF!="Leve"),CONCATENATE("R",'Mapa final'!#REF!),"")</f>
        <v>#REF!</v>
      </c>
      <c r="M42" s="391"/>
      <c r="N42" s="391" t="str">
        <f>IF(AND('Mapa final'!$I$37="Muy Baja",'Mapa final'!$M$37="Leve"),CONCATENATE("R",'Mapa final'!$A$37),"")</f>
        <v/>
      </c>
      <c r="O42" s="392"/>
      <c r="P42" s="393" t="str">
        <f>IF(AND('Mapa final'!$I$36="Muy Baja",'Mapa final'!$M$36="Menor"),CONCATENATE("R",'Mapa final'!$A$36),"")</f>
        <v/>
      </c>
      <c r="Q42" s="391"/>
      <c r="R42" s="391" t="e">
        <f>IF(AND('Mapa final'!#REF!="Muy Baja",'Mapa final'!#REF!="Menor"),CONCATENATE("R",'Mapa final'!#REF!),"")</f>
        <v>#REF!</v>
      </c>
      <c r="S42" s="391"/>
      <c r="T42" s="391" t="str">
        <f>IF(AND('Mapa final'!$I$37="Muy Baja",'Mapa final'!$M$37="Menor"),CONCATENATE("R",'Mapa final'!$A$37),"")</f>
        <v/>
      </c>
      <c r="U42" s="392"/>
      <c r="V42" s="382" t="str">
        <f>IF(AND('Mapa final'!$I$36="Muy Baja",'Mapa final'!$M$36="Moderado"),CONCATENATE("R",'Mapa final'!$A$36),"")</f>
        <v/>
      </c>
      <c r="W42" s="383"/>
      <c r="X42" s="383" t="e">
        <f>IF(AND('Mapa final'!#REF!="Muy Baja",'Mapa final'!#REF!="Moderado"),CONCATENATE("R",'Mapa final'!#REF!),"")</f>
        <v>#REF!</v>
      </c>
      <c r="Y42" s="383"/>
      <c r="Z42" s="383" t="str">
        <f>IF(AND('Mapa final'!$I$37="Muy Baja",'Mapa final'!$M$37="Moderado"),CONCATENATE("R",'Mapa final'!$A$37),"")</f>
        <v/>
      </c>
      <c r="AA42" s="384"/>
      <c r="AB42" s="366" t="str">
        <f>IF(AND('Mapa final'!$I$36="Muy Baja",'Mapa final'!$M$36="Mayor"),CONCATENATE("R",'Mapa final'!$A$36),"")</f>
        <v/>
      </c>
      <c r="AC42" s="362"/>
      <c r="AD42" s="362" t="e">
        <f>IF(AND('Mapa final'!#REF!="Muy Baja",'Mapa final'!#REF!="Mayor"),CONCATENATE("R",'Mapa final'!#REF!),"")</f>
        <v>#REF!</v>
      </c>
      <c r="AE42" s="362"/>
      <c r="AF42" s="362" t="str">
        <f>IF(AND('Mapa final'!$I$37="Muy Baja",'Mapa final'!$M$37="Mayor"),CONCATENATE("R",'Mapa final'!$A$37),"")</f>
        <v/>
      </c>
      <c r="AG42" s="363"/>
      <c r="AH42" s="373" t="str">
        <f>IF(AND('Mapa final'!$I$36="Muy Baja",'Mapa final'!$M$36="Catastrófico"),CONCATENATE("R",'Mapa final'!$A$36),"")</f>
        <v/>
      </c>
      <c r="AI42" s="374"/>
      <c r="AJ42" s="374" t="e">
        <f>IF(AND('Mapa final'!#REF!="Muy Baja",'Mapa final'!#REF!="Catastrófico"),CONCATENATE("R",'Mapa final'!#REF!),"")</f>
        <v>#REF!</v>
      </c>
      <c r="AK42" s="374"/>
      <c r="AL42" s="374" t="str">
        <f>IF(AND('Mapa final'!$I$37="Muy Baja",'Mapa final'!$M$37="Catastrófico"),CONCATENATE("R",'Mapa final'!$A$37),"")</f>
        <v/>
      </c>
      <c r="AM42" s="375"/>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315"/>
      <c r="C43" s="315"/>
      <c r="D43" s="316"/>
      <c r="E43" s="356"/>
      <c r="F43" s="357"/>
      <c r="G43" s="357"/>
      <c r="H43" s="357"/>
      <c r="I43" s="358"/>
      <c r="J43" s="393"/>
      <c r="K43" s="391"/>
      <c r="L43" s="391"/>
      <c r="M43" s="391"/>
      <c r="N43" s="391"/>
      <c r="O43" s="392"/>
      <c r="P43" s="393"/>
      <c r="Q43" s="391"/>
      <c r="R43" s="391"/>
      <c r="S43" s="391"/>
      <c r="T43" s="391"/>
      <c r="U43" s="392"/>
      <c r="V43" s="382"/>
      <c r="W43" s="383"/>
      <c r="X43" s="383"/>
      <c r="Y43" s="383"/>
      <c r="Z43" s="383"/>
      <c r="AA43" s="384"/>
      <c r="AB43" s="366"/>
      <c r="AC43" s="362"/>
      <c r="AD43" s="362"/>
      <c r="AE43" s="362"/>
      <c r="AF43" s="362"/>
      <c r="AG43" s="363"/>
      <c r="AH43" s="373"/>
      <c r="AI43" s="374"/>
      <c r="AJ43" s="374"/>
      <c r="AK43" s="374"/>
      <c r="AL43" s="374"/>
      <c r="AM43" s="375"/>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315"/>
      <c r="C44" s="315"/>
      <c r="D44" s="316"/>
      <c r="E44" s="356"/>
      <c r="F44" s="357"/>
      <c r="G44" s="357"/>
      <c r="H44" s="357"/>
      <c r="I44" s="358"/>
      <c r="J44" s="393" t="str">
        <f>IF(AND('Mapa final'!$I$38="Muy Baja",'Mapa final'!$M$38="Leve"),CONCATENATE("R",'Mapa final'!$A$38),"")</f>
        <v/>
      </c>
      <c r="K44" s="391"/>
      <c r="L44" s="391" t="str">
        <f>IF(AND('Mapa final'!$I$140="Muy Baja",'Mapa final'!$M$140="Leve"),CONCATENATE("R",'Mapa final'!$A$135),"")</f>
        <v/>
      </c>
      <c r="M44" s="391"/>
      <c r="N44" s="391" t="e">
        <f>IF(AND('Mapa final'!#REF!="Muy Baja",'Mapa final'!#REF!="Leve"),CONCATENATE("R",'Mapa final'!#REF!),"")</f>
        <v>#REF!</v>
      </c>
      <c r="O44" s="392"/>
      <c r="P44" s="393" t="str">
        <f>IF(AND('Mapa final'!$I$38="Muy Baja",'Mapa final'!$M$38="Menor"),CONCATENATE("R",'Mapa final'!$A$38),"")</f>
        <v/>
      </c>
      <c r="Q44" s="391"/>
      <c r="R44" s="391" t="str">
        <f>IF(AND('Mapa final'!$I$140="Muy Baja",'Mapa final'!$M$140="Menor"),CONCATENATE("R",'Mapa final'!$A$135),"")</f>
        <v/>
      </c>
      <c r="S44" s="391"/>
      <c r="T44" s="391" t="e">
        <f>IF(AND('Mapa final'!#REF!="Muy Baja",'Mapa final'!#REF!="Menor"),CONCATENATE("R",'Mapa final'!#REF!),"")</f>
        <v>#REF!</v>
      </c>
      <c r="U44" s="392"/>
      <c r="V44" s="382" t="str">
        <f>IF(AND('Mapa final'!$I$38="Muy Baja",'Mapa final'!$M$38="Moderado"),CONCATENATE("R",'Mapa final'!$A$38),"")</f>
        <v/>
      </c>
      <c r="W44" s="383"/>
      <c r="X44" s="383" t="str">
        <f>IF(AND('Mapa final'!$I$140="Muy Baja",'Mapa final'!$M$140="Moderado"),CONCATENATE("R",'Mapa final'!$A$135),"")</f>
        <v/>
      </c>
      <c r="Y44" s="383"/>
      <c r="Z44" s="383" t="e">
        <f>IF(AND('Mapa final'!#REF!="Muy Baja",'Mapa final'!#REF!="Moderado"),CONCATENATE("R",'Mapa final'!#REF!),"")</f>
        <v>#REF!</v>
      </c>
      <c r="AA44" s="384"/>
      <c r="AB44" s="366" t="str">
        <f>IF(AND('Mapa final'!$I$38="Muy Baja",'Mapa final'!$M$38="Mayor"),CONCATENATE("R",'Mapa final'!$A$38),"")</f>
        <v/>
      </c>
      <c r="AC44" s="362"/>
      <c r="AD44" s="362" t="str">
        <f>IF(AND('Mapa final'!$I$140="Muy Baja",'Mapa final'!$M$140="Mayor"),CONCATENATE("R",'Mapa final'!$A$135),"")</f>
        <v/>
      </c>
      <c r="AE44" s="362"/>
      <c r="AF44" s="362" t="e">
        <f>IF(AND('Mapa final'!#REF!="Muy Baja",'Mapa final'!#REF!="Mayor"),CONCATENATE("R",'Mapa final'!#REF!),"")</f>
        <v>#REF!</v>
      </c>
      <c r="AG44" s="363"/>
      <c r="AH44" s="373" t="str">
        <f>IF(AND('Mapa final'!$I$38="Muy Baja",'Mapa final'!$M$38="Catastrófico"),CONCATENATE("R",'Mapa final'!$A$38),"")</f>
        <v/>
      </c>
      <c r="AI44" s="374"/>
      <c r="AJ44" s="374" t="str">
        <f>IF(AND('Mapa final'!$I$140="Muy Baja",'Mapa final'!$M$140="Catastrófico"),CONCATENATE("R",'Mapa final'!$A$135),"")</f>
        <v/>
      </c>
      <c r="AK44" s="374"/>
      <c r="AL44" s="374" t="e">
        <f>IF(AND('Mapa final'!#REF!="Muy Baja",'Mapa final'!#REF!="Catastrófico"),CONCATENATE("R",'Mapa final'!#REF!),"")</f>
        <v>#REF!</v>
      </c>
      <c r="AM44" s="375"/>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315"/>
      <c r="C45" s="315"/>
      <c r="D45" s="316"/>
      <c r="E45" s="359"/>
      <c r="F45" s="360"/>
      <c r="G45" s="360"/>
      <c r="H45" s="360"/>
      <c r="I45" s="361"/>
      <c r="J45" s="394"/>
      <c r="K45" s="395"/>
      <c r="L45" s="395"/>
      <c r="M45" s="395"/>
      <c r="N45" s="395"/>
      <c r="O45" s="396"/>
      <c r="P45" s="394"/>
      <c r="Q45" s="395"/>
      <c r="R45" s="395"/>
      <c r="S45" s="395"/>
      <c r="T45" s="395"/>
      <c r="U45" s="396"/>
      <c r="V45" s="385"/>
      <c r="W45" s="386"/>
      <c r="X45" s="386"/>
      <c r="Y45" s="386"/>
      <c r="Z45" s="386"/>
      <c r="AA45" s="387"/>
      <c r="AB45" s="370"/>
      <c r="AC45" s="371"/>
      <c r="AD45" s="371"/>
      <c r="AE45" s="371"/>
      <c r="AF45" s="371"/>
      <c r="AG45" s="372"/>
      <c r="AH45" s="376"/>
      <c r="AI45" s="377"/>
      <c r="AJ45" s="377"/>
      <c r="AK45" s="377"/>
      <c r="AL45" s="377"/>
      <c r="AM45" s="378"/>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353" t="s">
        <v>111</v>
      </c>
      <c r="K46" s="354"/>
      <c r="L46" s="354"/>
      <c r="M46" s="354"/>
      <c r="N46" s="354"/>
      <c r="O46" s="355"/>
      <c r="P46" s="353" t="s">
        <v>110</v>
      </c>
      <c r="Q46" s="354"/>
      <c r="R46" s="354"/>
      <c r="S46" s="354"/>
      <c r="T46" s="354"/>
      <c r="U46" s="355"/>
      <c r="V46" s="353" t="s">
        <v>109</v>
      </c>
      <c r="W46" s="354"/>
      <c r="X46" s="354"/>
      <c r="Y46" s="354"/>
      <c r="Z46" s="354"/>
      <c r="AA46" s="355"/>
      <c r="AB46" s="353" t="s">
        <v>108</v>
      </c>
      <c r="AC46" s="369"/>
      <c r="AD46" s="354"/>
      <c r="AE46" s="354"/>
      <c r="AF46" s="354"/>
      <c r="AG46" s="355"/>
      <c r="AH46" s="353" t="s">
        <v>107</v>
      </c>
      <c r="AI46" s="354"/>
      <c r="AJ46" s="354"/>
      <c r="AK46" s="354"/>
      <c r="AL46" s="354"/>
      <c r="AM46" s="355"/>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356"/>
      <c r="K47" s="357"/>
      <c r="L47" s="357"/>
      <c r="M47" s="357"/>
      <c r="N47" s="357"/>
      <c r="O47" s="358"/>
      <c r="P47" s="356"/>
      <c r="Q47" s="357"/>
      <c r="R47" s="357"/>
      <c r="S47" s="357"/>
      <c r="T47" s="357"/>
      <c r="U47" s="358"/>
      <c r="V47" s="356"/>
      <c r="W47" s="357"/>
      <c r="X47" s="357"/>
      <c r="Y47" s="357"/>
      <c r="Z47" s="357"/>
      <c r="AA47" s="358"/>
      <c r="AB47" s="356"/>
      <c r="AC47" s="357"/>
      <c r="AD47" s="357"/>
      <c r="AE47" s="357"/>
      <c r="AF47" s="357"/>
      <c r="AG47" s="358"/>
      <c r="AH47" s="356"/>
      <c r="AI47" s="357"/>
      <c r="AJ47" s="357"/>
      <c r="AK47" s="357"/>
      <c r="AL47" s="357"/>
      <c r="AM47" s="358"/>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356"/>
      <c r="K48" s="357"/>
      <c r="L48" s="357"/>
      <c r="M48" s="357"/>
      <c r="N48" s="357"/>
      <c r="O48" s="358"/>
      <c r="P48" s="356"/>
      <c r="Q48" s="357"/>
      <c r="R48" s="357"/>
      <c r="S48" s="357"/>
      <c r="T48" s="357"/>
      <c r="U48" s="358"/>
      <c r="V48" s="356"/>
      <c r="W48" s="357"/>
      <c r="X48" s="357"/>
      <c r="Y48" s="357"/>
      <c r="Z48" s="357"/>
      <c r="AA48" s="358"/>
      <c r="AB48" s="356"/>
      <c r="AC48" s="357"/>
      <c r="AD48" s="357"/>
      <c r="AE48" s="357"/>
      <c r="AF48" s="357"/>
      <c r="AG48" s="358"/>
      <c r="AH48" s="356"/>
      <c r="AI48" s="357"/>
      <c r="AJ48" s="357"/>
      <c r="AK48" s="357"/>
      <c r="AL48" s="357"/>
      <c r="AM48" s="358"/>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356"/>
      <c r="K49" s="357"/>
      <c r="L49" s="357"/>
      <c r="M49" s="357"/>
      <c r="N49" s="357"/>
      <c r="O49" s="358"/>
      <c r="P49" s="356"/>
      <c r="Q49" s="357"/>
      <c r="R49" s="357"/>
      <c r="S49" s="357"/>
      <c r="T49" s="357"/>
      <c r="U49" s="358"/>
      <c r="V49" s="356"/>
      <c r="W49" s="357"/>
      <c r="X49" s="357"/>
      <c r="Y49" s="357"/>
      <c r="Z49" s="357"/>
      <c r="AA49" s="358"/>
      <c r="AB49" s="356"/>
      <c r="AC49" s="357"/>
      <c r="AD49" s="357"/>
      <c r="AE49" s="357"/>
      <c r="AF49" s="357"/>
      <c r="AG49" s="358"/>
      <c r="AH49" s="356"/>
      <c r="AI49" s="357"/>
      <c r="AJ49" s="357"/>
      <c r="AK49" s="357"/>
      <c r="AL49" s="357"/>
      <c r="AM49" s="358"/>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356"/>
      <c r="K50" s="357"/>
      <c r="L50" s="357"/>
      <c r="M50" s="357"/>
      <c r="N50" s="357"/>
      <c r="O50" s="358"/>
      <c r="P50" s="356"/>
      <c r="Q50" s="357"/>
      <c r="R50" s="357"/>
      <c r="S50" s="357"/>
      <c r="T50" s="357"/>
      <c r="U50" s="358"/>
      <c r="V50" s="356"/>
      <c r="W50" s="357"/>
      <c r="X50" s="357"/>
      <c r="Y50" s="357"/>
      <c r="Z50" s="357"/>
      <c r="AA50" s="358"/>
      <c r="AB50" s="356"/>
      <c r="AC50" s="357"/>
      <c r="AD50" s="357"/>
      <c r="AE50" s="357"/>
      <c r="AF50" s="357"/>
      <c r="AG50" s="358"/>
      <c r="AH50" s="356"/>
      <c r="AI50" s="357"/>
      <c r="AJ50" s="357"/>
      <c r="AK50" s="357"/>
      <c r="AL50" s="357"/>
      <c r="AM50" s="358"/>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359"/>
      <c r="K51" s="360"/>
      <c r="L51" s="360"/>
      <c r="M51" s="360"/>
      <c r="N51" s="360"/>
      <c r="O51" s="361"/>
      <c r="P51" s="359"/>
      <c r="Q51" s="360"/>
      <c r="R51" s="360"/>
      <c r="S51" s="360"/>
      <c r="T51" s="360"/>
      <c r="U51" s="361"/>
      <c r="V51" s="359"/>
      <c r="W51" s="360"/>
      <c r="X51" s="360"/>
      <c r="Y51" s="360"/>
      <c r="Z51" s="360"/>
      <c r="AA51" s="361"/>
      <c r="AB51" s="359"/>
      <c r="AC51" s="360"/>
      <c r="AD51" s="360"/>
      <c r="AE51" s="360"/>
      <c r="AF51" s="360"/>
      <c r="AG51" s="361"/>
      <c r="AH51" s="359"/>
      <c r="AI51" s="360"/>
      <c r="AJ51" s="360"/>
      <c r="AK51" s="360"/>
      <c r="AL51" s="360"/>
      <c r="AM51" s="361"/>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J6" sqref="J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426" t="s">
        <v>159</v>
      </c>
      <c r="C2" s="427"/>
      <c r="D2" s="427"/>
      <c r="E2" s="427"/>
      <c r="F2" s="427"/>
      <c r="G2" s="427"/>
      <c r="H2" s="427"/>
      <c r="I2" s="427"/>
      <c r="J2" s="368" t="s">
        <v>2</v>
      </c>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427"/>
      <c r="C3" s="427"/>
      <c r="D3" s="427"/>
      <c r="E3" s="427"/>
      <c r="F3" s="427"/>
      <c r="G3" s="427"/>
      <c r="H3" s="427"/>
      <c r="I3" s="427"/>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427"/>
      <c r="C4" s="427"/>
      <c r="D4" s="427"/>
      <c r="E4" s="427"/>
      <c r="F4" s="427"/>
      <c r="G4" s="427"/>
      <c r="H4" s="427"/>
      <c r="I4" s="427"/>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315" t="s">
        <v>4</v>
      </c>
      <c r="C6" s="315"/>
      <c r="D6" s="316"/>
      <c r="E6" s="410" t="s">
        <v>115</v>
      </c>
      <c r="F6" s="411"/>
      <c r="G6" s="411"/>
      <c r="H6" s="411"/>
      <c r="I6" s="428"/>
      <c r="J6" s="45" t="str">
        <f>IF(AND('Mapa final'!$Z$10="Muy Alta",'Mapa final'!$AB$10="Leve"),CONCATENATE("R1C",'Mapa final'!$P$10),"")</f>
        <v/>
      </c>
      <c r="K6" s="46" t="str">
        <f>IF(AND('Mapa final'!$Z$11="Muy Alta",'Mapa final'!$AB$11="Leve"),CONCATENATE("R1C",'Mapa final'!$P$11),"")</f>
        <v/>
      </c>
      <c r="L6" s="46" t="str">
        <f>IF(AND('Mapa final'!$Z$12="Muy Alta",'Mapa final'!$AB$12="Leve"),CONCATENATE("R1C",'Mapa final'!$P$12),"")</f>
        <v/>
      </c>
      <c r="M6" s="46" t="e">
        <f>IF(AND('Mapa final'!#REF!="Muy Alta",'Mapa final'!#REF!="Leve"),CONCATENATE("R1C",'Mapa final'!#REF!),"")</f>
        <v>#REF!</v>
      </c>
      <c r="N6" s="46" t="e">
        <f>IF(AND('Mapa final'!#REF!="Muy Alta",'Mapa final'!#REF!="Leve"),CONCATENATE("R1C",'Mapa final'!#REF!),"")</f>
        <v>#REF!</v>
      </c>
      <c r="O6" s="47" t="e">
        <f>IF(AND('Mapa final'!#REF!="Muy Alta",'Mapa final'!#REF!="Leve"),CONCATENATE("R1C",'Mapa final'!#REF!),"")</f>
        <v>#REF!</v>
      </c>
      <c r="P6" s="45" t="str">
        <f>IF(AND('Mapa final'!$Z$10="Muy Alta",'Mapa final'!$AB$10="Menor"),CONCATENATE("R1C",'Mapa final'!$P$10),"")</f>
        <v/>
      </c>
      <c r="Q6" s="46" t="str">
        <f>IF(AND('Mapa final'!$Z$11="Muy Alta",'Mapa final'!$AB$11="Menor"),CONCATENATE("R1C",'Mapa final'!$P$11),"")</f>
        <v/>
      </c>
      <c r="R6" s="46" t="str">
        <f>IF(AND('Mapa final'!$Z$12="Muy Alta",'Mapa final'!$AB$12="Menor"),CONCATENATE("R1C",'Mapa final'!$P$12),"")</f>
        <v/>
      </c>
      <c r="S6" s="46" t="e">
        <f>IF(AND('Mapa final'!#REF!="Muy Alta",'Mapa final'!#REF!="Menor"),CONCATENATE("R1C",'Mapa final'!#REF!),"")</f>
        <v>#REF!</v>
      </c>
      <c r="T6" s="46" t="e">
        <f>IF(AND('Mapa final'!#REF!="Muy Alta",'Mapa final'!#REF!="Menor"),CONCATENATE("R1C",'Mapa final'!#REF!),"")</f>
        <v>#REF!</v>
      </c>
      <c r="U6" s="47" t="e">
        <f>IF(AND('Mapa final'!#REF!="Muy Alta",'Mapa final'!#REF!="Menor"),CONCATENATE("R1C",'Mapa final'!#REF!),"")</f>
        <v>#REF!</v>
      </c>
      <c r="V6" s="45" t="str">
        <f>IF(AND('Mapa final'!$Z$10="Muy Alta",'Mapa final'!$AB$10="Moderado"),CONCATENATE("R1C",'Mapa final'!$P$10),"")</f>
        <v/>
      </c>
      <c r="W6" s="46" t="str">
        <f>IF(AND('Mapa final'!$Z$11="Muy Alta",'Mapa final'!$AB$11="Moderado"),CONCATENATE("R1C",'Mapa final'!$P$11),"")</f>
        <v/>
      </c>
      <c r="X6" s="46" t="str">
        <f>IF(AND('Mapa final'!$Z$12="Muy Alta",'Mapa final'!$AB$12="Moderado"),CONCATENATE("R1C",'Mapa final'!$P$12),"")</f>
        <v/>
      </c>
      <c r="Y6" s="46" t="e">
        <f>IF(AND('Mapa final'!#REF!="Muy Alta",'Mapa final'!#REF!="Moderado"),CONCATENATE("R1C",'Mapa final'!#REF!),"")</f>
        <v>#REF!</v>
      </c>
      <c r="Z6" s="46" t="e">
        <f>IF(AND('Mapa final'!#REF!="Muy Alta",'Mapa final'!#REF!="Moderado"),CONCATENATE("R1C",'Mapa final'!#REF!),"")</f>
        <v>#REF!</v>
      </c>
      <c r="AA6" s="47" t="e">
        <f>IF(AND('Mapa final'!#REF!="Muy Alta",'Mapa final'!#REF!="Moderado"),CONCATENATE("R1C",'Mapa final'!#REF!),"")</f>
        <v>#REF!</v>
      </c>
      <c r="AB6" s="45" t="str">
        <f>IF(AND('Mapa final'!$Z$10="Muy Alta",'Mapa final'!$AB$10="Mayor"),CONCATENATE("R1C",'Mapa final'!$P$10),"")</f>
        <v/>
      </c>
      <c r="AC6" s="46" t="str">
        <f>IF(AND('Mapa final'!$Z$11="Muy Alta",'Mapa final'!$AB$11="Mayor"),CONCATENATE("R1C",'Mapa final'!$P$11),"")</f>
        <v/>
      </c>
      <c r="AD6" s="46" t="str">
        <f>IF(AND('Mapa final'!$Z$12="Muy Alta",'Mapa final'!$AB$12="Mayor"),CONCATENATE("R1C",'Mapa final'!$P$12),"")</f>
        <v/>
      </c>
      <c r="AE6" s="46" t="e">
        <f>IF(AND('Mapa final'!#REF!="Muy Alta",'Mapa final'!#REF!="Mayor"),CONCATENATE("R1C",'Mapa final'!#REF!),"")</f>
        <v>#REF!</v>
      </c>
      <c r="AF6" s="46" t="e">
        <f>IF(AND('Mapa final'!#REF!="Muy Alta",'Mapa final'!#REF!="Mayor"),CONCATENATE("R1C",'Mapa final'!#REF!),"")</f>
        <v>#REF!</v>
      </c>
      <c r="AG6" s="47" t="e">
        <f>IF(AND('Mapa final'!#REF!="Muy Alta",'Mapa final'!#REF!="Mayor"),CONCATENATE("R1C",'Mapa final'!#REF!),"")</f>
        <v>#REF!</v>
      </c>
      <c r="AH6" s="48" t="str">
        <f>IF(AND('Mapa final'!$Z$10="Muy Alta",'Mapa final'!$AB$10="Catastrófico"),CONCATENATE("R1C",'Mapa final'!$P$10),"")</f>
        <v/>
      </c>
      <c r="AI6" s="49" t="str">
        <f>IF(AND('Mapa final'!$Z$11="Muy Alta",'Mapa final'!$AB$11="Catastrófico"),CONCATENATE("R1C",'Mapa final'!$P$11),"")</f>
        <v/>
      </c>
      <c r="AJ6" s="49" t="str">
        <f>IF(AND('Mapa final'!$Z$12="Muy Alta",'Mapa final'!$AB$12="Catastrófico"),CONCATENATE("R1C",'Mapa final'!$P$12),"")</f>
        <v/>
      </c>
      <c r="AK6" s="49" t="e">
        <f>IF(AND('Mapa final'!#REF!="Muy Alta",'Mapa final'!#REF!="Catastrófico"),CONCATENATE("R1C",'Mapa final'!#REF!),"")</f>
        <v>#REF!</v>
      </c>
      <c r="AL6" s="49" t="e">
        <f>IF(AND('Mapa final'!#REF!="Muy Alta",'Mapa final'!#REF!="Catastrófico"),CONCATENATE("R1C",'Mapa final'!#REF!),"")</f>
        <v>#REF!</v>
      </c>
      <c r="AM6" s="50" t="e">
        <f>IF(AND('Mapa final'!#REF!="Muy Alta",'Mapa final'!#REF!="Catastrófico"),CONCATENATE("R1C",'Mapa final'!#REF!),"")</f>
        <v>#REF!</v>
      </c>
      <c r="AN6" s="82"/>
      <c r="AO6" s="417" t="s">
        <v>78</v>
      </c>
      <c r="AP6" s="418"/>
      <c r="AQ6" s="418"/>
      <c r="AR6" s="418"/>
      <c r="AS6" s="418"/>
      <c r="AT6" s="419"/>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315"/>
      <c r="C7" s="315"/>
      <c r="D7" s="316"/>
      <c r="E7" s="414"/>
      <c r="F7" s="413"/>
      <c r="G7" s="413"/>
      <c r="H7" s="413"/>
      <c r="I7" s="429"/>
      <c r="J7" s="51" t="str">
        <f>IF(AND('Mapa final'!$Z$13="Muy Alta",'Mapa final'!$AB$13="Leve"),CONCATENATE("R2C",'Mapa final'!$P$13),"")</f>
        <v/>
      </c>
      <c r="K7" s="52" t="str">
        <f>IF(AND('Mapa final'!$Z$14="Muy Alta",'Mapa final'!$AB$14="Leve"),CONCATENATE("R2C",'Mapa final'!$P$14),"")</f>
        <v/>
      </c>
      <c r="L7" s="52" t="str">
        <f>IF(AND('Mapa final'!$Z$15="Muy Alta",'Mapa final'!$AB$15="Leve"),CONCATENATE("R2C",'Mapa final'!$P$15),"")</f>
        <v/>
      </c>
      <c r="M7" s="52" t="str">
        <f>IF(AND('Mapa final'!$Z$16="Muy Alta",'Mapa final'!$AB$16="Leve"),CONCATENATE("R2C",'Mapa final'!$P$16),"")</f>
        <v/>
      </c>
      <c r="N7" s="52" t="e">
        <f>IF(AND('Mapa final'!#REF!="Muy Alta",'Mapa final'!#REF!="Leve"),CONCATENATE("R2C",'Mapa final'!#REF!),"")</f>
        <v>#REF!</v>
      </c>
      <c r="O7" s="53" t="e">
        <f>IF(AND('Mapa final'!#REF!="Muy Alta",'Mapa final'!#REF!="Leve"),CONCATENATE("R2C",'Mapa final'!#REF!),"")</f>
        <v>#REF!</v>
      </c>
      <c r="P7" s="51" t="str">
        <f>IF(AND('Mapa final'!$Z$13="Muy Alta",'Mapa final'!$AB$13="Menor"),CONCATENATE("R2C",'Mapa final'!$P$13),"")</f>
        <v/>
      </c>
      <c r="Q7" s="52" t="str">
        <f>IF(AND('Mapa final'!$Z$14="Muy Alta",'Mapa final'!$AB$14="Menor"),CONCATENATE("R2C",'Mapa final'!$P$14),"")</f>
        <v/>
      </c>
      <c r="R7" s="52" t="str">
        <f>IF(AND('Mapa final'!$Z$15="Muy Alta",'Mapa final'!$AB$15="Menor"),CONCATENATE("R2C",'Mapa final'!$P$15),"")</f>
        <v/>
      </c>
      <c r="S7" s="52" t="str">
        <f>IF(AND('Mapa final'!$Z$16="Muy Alta",'Mapa final'!$AB$16="Menor"),CONCATENATE("R2C",'Mapa final'!$P$16),"")</f>
        <v/>
      </c>
      <c r="T7" s="52" t="e">
        <f>IF(AND('Mapa final'!#REF!="Muy Alta",'Mapa final'!#REF!="Menor"),CONCATENATE("R2C",'Mapa final'!#REF!),"")</f>
        <v>#REF!</v>
      </c>
      <c r="U7" s="53" t="e">
        <f>IF(AND('Mapa final'!#REF!="Muy Alta",'Mapa final'!#REF!="Menor"),CONCATENATE("R2C",'Mapa final'!#REF!),"")</f>
        <v>#REF!</v>
      </c>
      <c r="V7" s="51" t="str">
        <f>IF(AND('Mapa final'!$Z$13="Muy Alta",'Mapa final'!$AB$13="Moderado"),CONCATENATE("R2C",'Mapa final'!$P$13),"")</f>
        <v/>
      </c>
      <c r="W7" s="52" t="str">
        <f>IF(AND('Mapa final'!$Z$14="Muy Alta",'Mapa final'!$AB$14="Moderado"),CONCATENATE("R2C",'Mapa final'!$P$14),"")</f>
        <v/>
      </c>
      <c r="X7" s="52" t="str">
        <f>IF(AND('Mapa final'!$Z$15="Muy Alta",'Mapa final'!$AB$15="Moderado"),CONCATENATE("R2C",'Mapa final'!$P$15),"")</f>
        <v/>
      </c>
      <c r="Y7" s="52" t="str">
        <f>IF(AND('Mapa final'!$Z$16="Muy Alta",'Mapa final'!$AB$16="Moderado"),CONCATENATE("R2C",'Mapa final'!$P$16),"")</f>
        <v/>
      </c>
      <c r="Z7" s="52" t="e">
        <f>IF(AND('Mapa final'!#REF!="Muy Alta",'Mapa final'!#REF!="Moderado"),CONCATENATE("R2C",'Mapa final'!#REF!),"")</f>
        <v>#REF!</v>
      </c>
      <c r="AA7" s="53" t="e">
        <f>IF(AND('Mapa final'!#REF!="Muy Alta",'Mapa final'!#REF!="Moderado"),CONCATENATE("R2C",'Mapa final'!#REF!),"")</f>
        <v>#REF!</v>
      </c>
      <c r="AB7" s="51" t="str">
        <f>IF(AND('Mapa final'!$Z$13="Muy Alta",'Mapa final'!$AB$13="Mayor"),CONCATENATE("R2C",'Mapa final'!$P$13),"")</f>
        <v/>
      </c>
      <c r="AC7" s="52" t="str">
        <f>IF(AND('Mapa final'!$Z$14="Muy Alta",'Mapa final'!$AB$14="Mayor"),CONCATENATE("R2C",'Mapa final'!$P$14),"")</f>
        <v/>
      </c>
      <c r="AD7" s="52" t="str">
        <f>IF(AND('Mapa final'!$Z$15="Muy Alta",'Mapa final'!$AB$15="Mayor"),CONCATENATE("R2C",'Mapa final'!$P$15),"")</f>
        <v/>
      </c>
      <c r="AE7" s="52" t="str">
        <f>IF(AND('Mapa final'!$Z$16="Muy Alta",'Mapa final'!$AB$16="Mayor"),CONCATENATE("R2C",'Mapa final'!$P$16),"")</f>
        <v/>
      </c>
      <c r="AF7" s="52" t="e">
        <f>IF(AND('Mapa final'!#REF!="Muy Alta",'Mapa final'!#REF!="Mayor"),CONCATENATE("R2C",'Mapa final'!#REF!),"")</f>
        <v>#REF!</v>
      </c>
      <c r="AG7" s="53" t="e">
        <f>IF(AND('Mapa final'!#REF!="Muy Alta",'Mapa final'!#REF!="Mayor"),CONCATENATE("R2C",'Mapa final'!#REF!),"")</f>
        <v>#REF!</v>
      </c>
      <c r="AH7" s="54" t="str">
        <f>IF(AND('Mapa final'!$Z$13="Muy Alta",'Mapa final'!$AB$13="Catastrófico"),CONCATENATE("R2C",'Mapa final'!$P$13),"")</f>
        <v/>
      </c>
      <c r="AI7" s="55" t="str">
        <f>IF(AND('Mapa final'!$Z$14="Muy Alta",'Mapa final'!$AB$14="Catastrófico"),CONCATENATE("R2C",'Mapa final'!$P$14),"")</f>
        <v/>
      </c>
      <c r="AJ7" s="55" t="str">
        <f>IF(AND('Mapa final'!$Z$15="Muy Alta",'Mapa final'!$AB$15="Catastrófico"),CONCATENATE("R2C",'Mapa final'!$P$15),"")</f>
        <v/>
      </c>
      <c r="AK7" s="55" t="str">
        <f>IF(AND('Mapa final'!$Z$16="Muy Alta",'Mapa final'!$AB$16="Catastrófico"),CONCATENATE("R2C",'Mapa final'!$P$16),"")</f>
        <v/>
      </c>
      <c r="AL7" s="55" t="e">
        <f>IF(AND('Mapa final'!#REF!="Muy Alta",'Mapa final'!#REF!="Catastrófico"),CONCATENATE("R2C",'Mapa final'!#REF!),"")</f>
        <v>#REF!</v>
      </c>
      <c r="AM7" s="56" t="e">
        <f>IF(AND('Mapa final'!#REF!="Muy Alta",'Mapa final'!#REF!="Catastrófico"),CONCATENATE("R2C",'Mapa final'!#REF!),"")</f>
        <v>#REF!</v>
      </c>
      <c r="AN7" s="82"/>
      <c r="AO7" s="420"/>
      <c r="AP7" s="421"/>
      <c r="AQ7" s="421"/>
      <c r="AR7" s="421"/>
      <c r="AS7" s="421"/>
      <c r="AT7" s="42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315"/>
      <c r="C8" s="315"/>
      <c r="D8" s="316"/>
      <c r="E8" s="414"/>
      <c r="F8" s="413"/>
      <c r="G8" s="413"/>
      <c r="H8" s="413"/>
      <c r="I8" s="429"/>
      <c r="J8" s="51" t="str">
        <f>IF(AND('Mapa final'!$Z$17="Muy Alta",'Mapa final'!$AB$17="Leve"),CONCATENATE("R3C",'Mapa final'!$P$17),"")</f>
        <v/>
      </c>
      <c r="K8" s="52" t="str">
        <f>IF(AND('Mapa final'!$Z$18="Muy Alta",'Mapa final'!$AB$18="Leve"),CONCATENATE("R3C",'Mapa final'!$P$18),"")</f>
        <v/>
      </c>
      <c r="L8" s="52" t="str">
        <f>IF(AND('Mapa final'!$Z$19="Muy Alta",'Mapa final'!$AB$19="Leve"),CONCATENATE("R3C",'Mapa final'!$P$19),"")</f>
        <v/>
      </c>
      <c r="M8" s="52" t="e">
        <f>IF(AND('Mapa final'!#REF!="Muy Alta",'Mapa final'!#REF!="Leve"),CONCATENATE("R3C",'Mapa final'!#REF!),"")</f>
        <v>#REF!</v>
      </c>
      <c r="N8" s="52" t="e">
        <f>IF(AND('Mapa final'!#REF!="Muy Alta",'Mapa final'!#REF!="Leve"),CONCATENATE("R3C",'Mapa final'!#REF!),"")</f>
        <v>#REF!</v>
      </c>
      <c r="O8" s="53" t="e">
        <f>IF(AND('Mapa final'!#REF!="Muy Alta",'Mapa final'!#REF!="Leve"),CONCATENATE("R3C",'Mapa final'!#REF!),"")</f>
        <v>#REF!</v>
      </c>
      <c r="P8" s="51" t="str">
        <f>IF(AND('Mapa final'!$Z$17="Muy Alta",'Mapa final'!$AB$17="Menor"),CONCATENATE("R3C",'Mapa final'!$P$17),"")</f>
        <v/>
      </c>
      <c r="Q8" s="52" t="str">
        <f>IF(AND('Mapa final'!$Z$18="Muy Alta",'Mapa final'!$AB$18="Menor"),CONCATENATE("R3C",'Mapa final'!$P$18),"")</f>
        <v/>
      </c>
      <c r="R8" s="52" t="str">
        <f>IF(AND('Mapa final'!$Z$19="Muy Alta",'Mapa final'!$AB$19="Menor"),CONCATENATE("R3C",'Mapa final'!$P$19),"")</f>
        <v/>
      </c>
      <c r="S8" s="52" t="e">
        <f>IF(AND('Mapa final'!#REF!="Muy Alta",'Mapa final'!#REF!="Menor"),CONCATENATE("R3C",'Mapa final'!#REF!),"")</f>
        <v>#REF!</v>
      </c>
      <c r="T8" s="52" t="e">
        <f>IF(AND('Mapa final'!#REF!="Muy Alta",'Mapa final'!#REF!="Menor"),CONCATENATE("R3C",'Mapa final'!#REF!),"")</f>
        <v>#REF!</v>
      </c>
      <c r="U8" s="53" t="e">
        <f>IF(AND('Mapa final'!#REF!="Muy Alta",'Mapa final'!#REF!="Menor"),CONCATENATE("R3C",'Mapa final'!#REF!),"")</f>
        <v>#REF!</v>
      </c>
      <c r="V8" s="51" t="str">
        <f>IF(AND('Mapa final'!$Z$17="Muy Alta",'Mapa final'!$AB$17="Moderado"),CONCATENATE("R3C",'Mapa final'!$P$17),"")</f>
        <v/>
      </c>
      <c r="W8" s="52" t="str">
        <f>IF(AND('Mapa final'!$Z$18="Muy Alta",'Mapa final'!$AB$18="Moderado"),CONCATENATE("R3C",'Mapa final'!$P$18),"")</f>
        <v/>
      </c>
      <c r="X8" s="52" t="str">
        <f>IF(AND('Mapa final'!$Z$19="Muy Alta",'Mapa final'!$AB$19="Moderado"),CONCATENATE("R3C",'Mapa final'!$P$19),"")</f>
        <v/>
      </c>
      <c r="Y8" s="52" t="e">
        <f>IF(AND('Mapa final'!#REF!="Muy Alta",'Mapa final'!#REF!="Moderado"),CONCATENATE("R3C",'Mapa final'!#REF!),"")</f>
        <v>#REF!</v>
      </c>
      <c r="Z8" s="52" t="e">
        <f>IF(AND('Mapa final'!#REF!="Muy Alta",'Mapa final'!#REF!="Moderado"),CONCATENATE("R3C",'Mapa final'!#REF!),"")</f>
        <v>#REF!</v>
      </c>
      <c r="AA8" s="53" t="e">
        <f>IF(AND('Mapa final'!#REF!="Muy Alta",'Mapa final'!#REF!="Moderado"),CONCATENATE("R3C",'Mapa final'!#REF!),"")</f>
        <v>#REF!</v>
      </c>
      <c r="AB8" s="51" t="str">
        <f>IF(AND('Mapa final'!$Z$17="Muy Alta",'Mapa final'!$AB$17="Mayor"),CONCATENATE("R3C",'Mapa final'!$P$17),"")</f>
        <v/>
      </c>
      <c r="AC8" s="52" t="str">
        <f>IF(AND('Mapa final'!$Z$18="Muy Alta",'Mapa final'!$AB$18="Mayor"),CONCATENATE("R3C",'Mapa final'!$P$18),"")</f>
        <v/>
      </c>
      <c r="AD8" s="52" t="str">
        <f>IF(AND('Mapa final'!$Z$19="Muy Alta",'Mapa final'!$AB$19="Mayor"),CONCATENATE("R3C",'Mapa final'!$P$19),"")</f>
        <v/>
      </c>
      <c r="AE8" s="52" t="e">
        <f>IF(AND('Mapa final'!#REF!="Muy Alta",'Mapa final'!#REF!="Mayor"),CONCATENATE("R3C",'Mapa final'!#REF!),"")</f>
        <v>#REF!</v>
      </c>
      <c r="AF8" s="52" t="e">
        <f>IF(AND('Mapa final'!#REF!="Muy Alta",'Mapa final'!#REF!="Mayor"),CONCATENATE("R3C",'Mapa final'!#REF!),"")</f>
        <v>#REF!</v>
      </c>
      <c r="AG8" s="53" t="e">
        <f>IF(AND('Mapa final'!#REF!="Muy Alta",'Mapa final'!#REF!="Mayor"),CONCATENATE("R3C",'Mapa final'!#REF!),"")</f>
        <v>#REF!</v>
      </c>
      <c r="AH8" s="54" t="str">
        <f>IF(AND('Mapa final'!$Z$17="Muy Alta",'Mapa final'!$AB$17="Catastrófico"),CONCATENATE("R3C",'Mapa final'!$P$17),"")</f>
        <v/>
      </c>
      <c r="AI8" s="55" t="str">
        <f>IF(AND('Mapa final'!$Z$18="Muy Alta",'Mapa final'!$AB$18="Catastrófico"),CONCATENATE("R3C",'Mapa final'!$P$18),"")</f>
        <v/>
      </c>
      <c r="AJ8" s="55" t="str">
        <f>IF(AND('Mapa final'!$Z$19="Muy Alta",'Mapa final'!$AB$19="Catastrófico"),CONCATENATE("R3C",'Mapa final'!$P$19),"")</f>
        <v/>
      </c>
      <c r="AK8" s="55" t="e">
        <f>IF(AND('Mapa final'!#REF!="Muy Alta",'Mapa final'!#REF!="Catastrófico"),CONCATENATE("R3C",'Mapa final'!#REF!),"")</f>
        <v>#REF!</v>
      </c>
      <c r="AL8" s="55" t="e">
        <f>IF(AND('Mapa final'!#REF!="Muy Alta",'Mapa final'!#REF!="Catastrófico"),CONCATENATE("R3C",'Mapa final'!#REF!),"")</f>
        <v>#REF!</v>
      </c>
      <c r="AM8" s="56" t="e">
        <f>IF(AND('Mapa final'!#REF!="Muy Alta",'Mapa final'!#REF!="Catastrófico"),CONCATENATE("R3C",'Mapa final'!#REF!),"")</f>
        <v>#REF!</v>
      </c>
      <c r="AN8" s="82"/>
      <c r="AO8" s="420"/>
      <c r="AP8" s="421"/>
      <c r="AQ8" s="421"/>
      <c r="AR8" s="421"/>
      <c r="AS8" s="421"/>
      <c r="AT8" s="42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315"/>
      <c r="C9" s="315"/>
      <c r="D9" s="316"/>
      <c r="E9" s="414"/>
      <c r="F9" s="413"/>
      <c r="G9" s="413"/>
      <c r="H9" s="413"/>
      <c r="I9" s="429"/>
      <c r="J9" s="51" t="str">
        <f>IF(AND('Mapa final'!$Z$20="Muy Alta",'Mapa final'!$AB$20="Leve"),CONCATENATE("R4C",'Mapa final'!$P$20),"")</f>
        <v/>
      </c>
      <c r="K9" s="52" t="e">
        <f>IF(AND('Mapa final'!#REF!="Muy Alta",'Mapa final'!#REF!="Leve"),CONCATENATE("R4C",'Mapa final'!#REF!),"")</f>
        <v>#REF!</v>
      </c>
      <c r="L9" s="52" t="e">
        <f>IF(AND('Mapa final'!#REF!="Muy Alta",'Mapa final'!#REF!="Leve"),CONCATENATE("R4C",'Mapa final'!#REF!),"")</f>
        <v>#REF!</v>
      </c>
      <c r="M9" s="52" t="e">
        <f>IF(AND('Mapa final'!#REF!="Muy Alta",'Mapa final'!#REF!="Leve"),CONCATENATE("R4C",'Mapa final'!#REF!),"")</f>
        <v>#REF!</v>
      </c>
      <c r="N9" s="52" t="e">
        <f>IF(AND('Mapa final'!#REF!="Muy Alta",'Mapa final'!#REF!="Leve"),CONCATENATE("R4C",'Mapa final'!#REF!),"")</f>
        <v>#REF!</v>
      </c>
      <c r="O9" s="53" t="e">
        <f>IF(AND('Mapa final'!#REF!="Muy Alta",'Mapa final'!#REF!="Leve"),CONCATENATE("R4C",'Mapa final'!#REF!),"")</f>
        <v>#REF!</v>
      </c>
      <c r="P9" s="51" t="str">
        <f>IF(AND('Mapa final'!$Z$20="Muy Alta",'Mapa final'!$AB$20="Menor"),CONCATENATE("R4C",'Mapa final'!$P$20),"")</f>
        <v/>
      </c>
      <c r="Q9" s="52" t="e">
        <f>IF(AND('Mapa final'!#REF!="Muy Alta",'Mapa final'!#REF!="Menor"),CONCATENATE("R4C",'Mapa final'!#REF!),"")</f>
        <v>#REF!</v>
      </c>
      <c r="R9" s="52" t="e">
        <f>IF(AND('Mapa final'!#REF!="Muy Alta",'Mapa final'!#REF!="Menor"),CONCATENATE("R4C",'Mapa final'!#REF!),"")</f>
        <v>#REF!</v>
      </c>
      <c r="S9" s="52" t="e">
        <f>IF(AND('Mapa final'!#REF!="Muy Alta",'Mapa final'!#REF!="Menor"),CONCATENATE("R4C",'Mapa final'!#REF!),"")</f>
        <v>#REF!</v>
      </c>
      <c r="T9" s="52" t="e">
        <f>IF(AND('Mapa final'!#REF!="Muy Alta",'Mapa final'!#REF!="Menor"),CONCATENATE("R4C",'Mapa final'!#REF!),"")</f>
        <v>#REF!</v>
      </c>
      <c r="U9" s="53" t="e">
        <f>IF(AND('Mapa final'!#REF!="Muy Alta",'Mapa final'!#REF!="Menor"),CONCATENATE("R4C",'Mapa final'!#REF!),"")</f>
        <v>#REF!</v>
      </c>
      <c r="V9" s="51" t="str">
        <f>IF(AND('Mapa final'!$Z$20="Muy Alta",'Mapa final'!$AB$20="Moderado"),CONCATENATE("R4C",'Mapa final'!$P$20),"")</f>
        <v/>
      </c>
      <c r="W9" s="52" t="e">
        <f>IF(AND('Mapa final'!#REF!="Muy Alta",'Mapa final'!#REF!="Moderado"),CONCATENATE("R4C",'Mapa final'!#REF!),"")</f>
        <v>#REF!</v>
      </c>
      <c r="X9" s="52" t="e">
        <f>IF(AND('Mapa final'!#REF!="Muy Alta",'Mapa final'!#REF!="Moderado"),CONCATENATE("R4C",'Mapa final'!#REF!),"")</f>
        <v>#REF!</v>
      </c>
      <c r="Y9" s="52" t="e">
        <f>IF(AND('Mapa final'!#REF!="Muy Alta",'Mapa final'!#REF!="Moderado"),CONCATENATE("R4C",'Mapa final'!#REF!),"")</f>
        <v>#REF!</v>
      </c>
      <c r="Z9" s="52" t="e">
        <f>IF(AND('Mapa final'!#REF!="Muy Alta",'Mapa final'!#REF!="Moderado"),CONCATENATE("R4C",'Mapa final'!#REF!),"")</f>
        <v>#REF!</v>
      </c>
      <c r="AA9" s="53" t="e">
        <f>IF(AND('Mapa final'!#REF!="Muy Alta",'Mapa final'!#REF!="Moderado"),CONCATENATE("R4C",'Mapa final'!#REF!),"")</f>
        <v>#REF!</v>
      </c>
      <c r="AB9" s="51" t="str">
        <f>IF(AND('Mapa final'!$Z$20="Muy Alta",'Mapa final'!$AB$20="Mayor"),CONCATENATE("R4C",'Mapa final'!$P$20),"")</f>
        <v/>
      </c>
      <c r="AC9" s="52" t="e">
        <f>IF(AND('Mapa final'!#REF!="Muy Alta",'Mapa final'!#REF!="Mayor"),CONCATENATE("R4C",'Mapa final'!#REF!),"")</f>
        <v>#REF!</v>
      </c>
      <c r="AD9" s="52" t="e">
        <f>IF(AND('Mapa final'!#REF!="Muy Alta",'Mapa final'!#REF!="Mayor"),CONCATENATE("R4C",'Mapa final'!#REF!),"")</f>
        <v>#REF!</v>
      </c>
      <c r="AE9" s="52" t="e">
        <f>IF(AND('Mapa final'!#REF!="Muy Alta",'Mapa final'!#REF!="Mayor"),CONCATENATE("R4C",'Mapa final'!#REF!),"")</f>
        <v>#REF!</v>
      </c>
      <c r="AF9" s="52" t="e">
        <f>IF(AND('Mapa final'!#REF!="Muy Alta",'Mapa final'!#REF!="Mayor"),CONCATENATE("R4C",'Mapa final'!#REF!),"")</f>
        <v>#REF!</v>
      </c>
      <c r="AG9" s="53" t="e">
        <f>IF(AND('Mapa final'!#REF!="Muy Alta",'Mapa final'!#REF!="Mayor"),CONCATENATE("R4C",'Mapa final'!#REF!),"")</f>
        <v>#REF!</v>
      </c>
      <c r="AH9" s="54" t="str">
        <f>IF(AND('Mapa final'!$Z$20="Muy Alta",'Mapa final'!$AB$20="Catastrófico"),CONCATENATE("R4C",'Mapa final'!$P$20),"")</f>
        <v/>
      </c>
      <c r="AI9" s="55" t="e">
        <f>IF(AND('Mapa final'!#REF!="Muy Alta",'Mapa final'!#REF!="Catastrófico"),CONCATENATE("R4C",'Mapa final'!#REF!),"")</f>
        <v>#REF!</v>
      </c>
      <c r="AJ9" s="55" t="e">
        <f>IF(AND('Mapa final'!#REF!="Muy Alta",'Mapa final'!#REF!="Catastrófico"),CONCATENATE("R4C",'Mapa final'!#REF!),"")</f>
        <v>#REF!</v>
      </c>
      <c r="AK9" s="55" t="e">
        <f>IF(AND('Mapa final'!#REF!="Muy Alta",'Mapa final'!#REF!="Catastrófico"),CONCATENATE("R4C",'Mapa final'!#REF!),"")</f>
        <v>#REF!</v>
      </c>
      <c r="AL9" s="55" t="e">
        <f>IF(AND('Mapa final'!#REF!="Muy Alta",'Mapa final'!#REF!="Catastrófico"),CONCATENATE("R4C",'Mapa final'!#REF!),"")</f>
        <v>#REF!</v>
      </c>
      <c r="AM9" s="56" t="e">
        <f>IF(AND('Mapa final'!#REF!="Muy Alta",'Mapa final'!#REF!="Catastrófico"),CONCATENATE("R4C",'Mapa final'!#REF!),"")</f>
        <v>#REF!</v>
      </c>
      <c r="AN9" s="82"/>
      <c r="AO9" s="420"/>
      <c r="AP9" s="421"/>
      <c r="AQ9" s="421"/>
      <c r="AR9" s="421"/>
      <c r="AS9" s="421"/>
      <c r="AT9" s="42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315"/>
      <c r="C10" s="315"/>
      <c r="D10" s="316"/>
      <c r="E10" s="414"/>
      <c r="F10" s="413"/>
      <c r="G10" s="413"/>
      <c r="H10" s="413"/>
      <c r="I10" s="429"/>
      <c r="J10" s="51" t="str">
        <f>IF(AND('Mapa final'!$Z$21="Muy Alta",'Mapa final'!$AB$21="Leve"),CONCATENATE("R5C",'Mapa final'!$P$21),"")</f>
        <v/>
      </c>
      <c r="K10" s="52" t="str">
        <f>IF(AND('Mapa final'!$Z$22="Muy Alta",'Mapa final'!$AB$22="Leve"),CONCATENATE("R5C",'Mapa final'!$P$22),"")</f>
        <v/>
      </c>
      <c r="L10" s="52" t="str">
        <f>IF(AND('Mapa final'!$Z$23="Muy Alta",'Mapa final'!$AB$23="Leve"),CONCATENATE("R5C",'Mapa final'!$P$23),"")</f>
        <v/>
      </c>
      <c r="M10" s="52" t="str">
        <f>IF(AND('Mapa final'!$Z$24="Muy Alta",'Mapa final'!$AB$24="Leve"),CONCATENATE("R5C",'Mapa final'!$P$24),"")</f>
        <v/>
      </c>
      <c r="N10" s="52" t="str">
        <f>IF(AND('Mapa final'!$Z$25="Muy Alta",'Mapa final'!$AB$25="Leve"),CONCATENATE("R5C",'Mapa final'!$P$25),"")</f>
        <v/>
      </c>
      <c r="O10" s="53" t="e">
        <f>IF(AND('Mapa final'!#REF!="Muy Alta",'Mapa final'!#REF!="Leve"),CONCATENATE("R5C",'Mapa final'!#REF!),"")</f>
        <v>#REF!</v>
      </c>
      <c r="P10" s="51" t="str">
        <f>IF(AND('Mapa final'!$Z$21="Muy Alta",'Mapa final'!$AB$21="Menor"),CONCATENATE("R5C",'Mapa final'!$P$21),"")</f>
        <v/>
      </c>
      <c r="Q10" s="52" t="str">
        <f>IF(AND('Mapa final'!$Z$22="Muy Alta",'Mapa final'!$AB$22="Menor"),CONCATENATE("R5C",'Mapa final'!$P$22),"")</f>
        <v/>
      </c>
      <c r="R10" s="52" t="str">
        <f>IF(AND('Mapa final'!$Z$23="Muy Alta",'Mapa final'!$AB$23="Menor"),CONCATENATE("R5C",'Mapa final'!$P$23),"")</f>
        <v/>
      </c>
      <c r="S10" s="52" t="str">
        <f>IF(AND('Mapa final'!$Z$24="Muy Alta",'Mapa final'!$AB$24="Menor"),CONCATENATE("R5C",'Mapa final'!$P$24),"")</f>
        <v/>
      </c>
      <c r="T10" s="52" t="str">
        <f>IF(AND('Mapa final'!$Z$25="Muy Alta",'Mapa final'!$AB$25="Menor"),CONCATENATE("R5C",'Mapa final'!$P$25),"")</f>
        <v/>
      </c>
      <c r="U10" s="53" t="e">
        <f>IF(AND('Mapa final'!#REF!="Muy Alta",'Mapa final'!#REF!="Menor"),CONCATENATE("R5C",'Mapa final'!#REF!),"")</f>
        <v>#REF!</v>
      </c>
      <c r="V10" s="51" t="str">
        <f>IF(AND('Mapa final'!$Z$21="Muy Alta",'Mapa final'!$AB$21="Moderado"),CONCATENATE("R5C",'Mapa final'!$P$21),"")</f>
        <v/>
      </c>
      <c r="W10" s="52" t="str">
        <f>IF(AND('Mapa final'!$Z$22="Muy Alta",'Mapa final'!$AB$22="Moderado"),CONCATENATE("R5C",'Mapa final'!$P$22),"")</f>
        <v/>
      </c>
      <c r="X10" s="52" t="str">
        <f>IF(AND('Mapa final'!$Z$23="Muy Alta",'Mapa final'!$AB$23="Moderado"),CONCATENATE("R5C",'Mapa final'!$P$23),"")</f>
        <v/>
      </c>
      <c r="Y10" s="52" t="str">
        <f>IF(AND('Mapa final'!$Z$24="Muy Alta",'Mapa final'!$AB$24="Moderado"),CONCATENATE("R5C",'Mapa final'!$P$24),"")</f>
        <v/>
      </c>
      <c r="Z10" s="52" t="str">
        <f>IF(AND('Mapa final'!$Z$25="Muy Alta",'Mapa final'!$AB$25="Moderado"),CONCATENATE("R5C",'Mapa final'!$P$25),"")</f>
        <v/>
      </c>
      <c r="AA10" s="53" t="e">
        <f>IF(AND('Mapa final'!#REF!="Muy Alta",'Mapa final'!#REF!="Moderado"),CONCATENATE("R5C",'Mapa final'!#REF!),"")</f>
        <v>#REF!</v>
      </c>
      <c r="AB10" s="51" t="str">
        <f>IF(AND('Mapa final'!$Z$21="Muy Alta",'Mapa final'!$AB$21="Mayor"),CONCATENATE("R5C",'Mapa final'!$P$21),"")</f>
        <v/>
      </c>
      <c r="AC10" s="52" t="str">
        <f>IF(AND('Mapa final'!$Z$22="Muy Alta",'Mapa final'!$AB$22="Mayor"),CONCATENATE("R5C",'Mapa final'!$P$22),"")</f>
        <v/>
      </c>
      <c r="AD10" s="52" t="str">
        <f>IF(AND('Mapa final'!$Z$23="Muy Alta",'Mapa final'!$AB$23="Mayor"),CONCATENATE("R5C",'Mapa final'!$P$23),"")</f>
        <v/>
      </c>
      <c r="AE10" s="52" t="str">
        <f>IF(AND('Mapa final'!$Z$24="Muy Alta",'Mapa final'!$AB$24="Mayor"),CONCATENATE("R5C",'Mapa final'!$P$24),"")</f>
        <v/>
      </c>
      <c r="AF10" s="52" t="str">
        <f>IF(AND('Mapa final'!$Z$25="Muy Alta",'Mapa final'!$AB$25="Mayor"),CONCATENATE("R5C",'Mapa final'!$P$25),"")</f>
        <v/>
      </c>
      <c r="AG10" s="53" t="e">
        <f>IF(AND('Mapa final'!#REF!="Muy Alta",'Mapa final'!#REF!="Mayor"),CONCATENATE("R5C",'Mapa final'!#REF!),"")</f>
        <v>#REF!</v>
      </c>
      <c r="AH10" s="54" t="str">
        <f>IF(AND('Mapa final'!$Z$21="Muy Alta",'Mapa final'!$AB$21="Catastrófico"),CONCATENATE("R5C",'Mapa final'!$P$21),"")</f>
        <v/>
      </c>
      <c r="AI10" s="55" t="str">
        <f>IF(AND('Mapa final'!$Z$22="Muy Alta",'Mapa final'!$AB$22="Catastrófico"),CONCATENATE("R5C",'Mapa final'!$P$22),"")</f>
        <v/>
      </c>
      <c r="AJ10" s="55" t="str">
        <f>IF(AND('Mapa final'!$Z$23="Muy Alta",'Mapa final'!$AB$23="Catastrófico"),CONCATENATE("R5C",'Mapa final'!$P$23),"")</f>
        <v/>
      </c>
      <c r="AK10" s="55" t="str">
        <f>IF(AND('Mapa final'!$Z$24="Muy Alta",'Mapa final'!$AB$24="Catastrófico"),CONCATENATE("R5C",'Mapa final'!$P$24),"")</f>
        <v/>
      </c>
      <c r="AL10" s="55" t="str">
        <f>IF(AND('Mapa final'!$Z$25="Muy Alta",'Mapa final'!$AB$25="Catastrófico"),CONCATENATE("R5C",'Mapa final'!$P$25),"")</f>
        <v/>
      </c>
      <c r="AM10" s="56" t="e">
        <f>IF(AND('Mapa final'!#REF!="Muy Alta",'Mapa final'!#REF!="Catastrófico"),CONCATENATE("R5C",'Mapa final'!#REF!),"")</f>
        <v>#REF!</v>
      </c>
      <c r="AN10" s="82"/>
      <c r="AO10" s="420"/>
      <c r="AP10" s="421"/>
      <c r="AQ10" s="421"/>
      <c r="AR10" s="421"/>
      <c r="AS10" s="421"/>
      <c r="AT10" s="42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315"/>
      <c r="C11" s="315"/>
      <c r="D11" s="316"/>
      <c r="E11" s="414"/>
      <c r="F11" s="413"/>
      <c r="G11" s="413"/>
      <c r="H11" s="413"/>
      <c r="I11" s="429"/>
      <c r="J11" s="51" t="str">
        <f>IF(AND('Mapa final'!$Z$35="Muy Alta",'Mapa final'!$AB$35="Leve"),CONCATENATE("R6C",'Mapa final'!$P$35),"")</f>
        <v/>
      </c>
      <c r="K11" s="52" t="e">
        <f>IF(AND('Mapa final'!#REF!="Muy Alta",'Mapa final'!#REF!="Leve"),CONCATENATE("R6C",'Mapa final'!#REF!),"")</f>
        <v>#REF!</v>
      </c>
      <c r="L11" s="52" t="e">
        <f>IF(AND('Mapa final'!#REF!="Muy Alta",'Mapa final'!#REF!="Leve"),CONCATENATE("R6C",'Mapa final'!#REF!),"")</f>
        <v>#REF!</v>
      </c>
      <c r="M11" s="52" t="e">
        <f>IF(AND('Mapa final'!#REF!="Muy Alta",'Mapa final'!#REF!="Leve"),CONCATENATE("R6C",'Mapa final'!#REF!),"")</f>
        <v>#REF!</v>
      </c>
      <c r="N11" s="52" t="e">
        <f>IF(AND('Mapa final'!#REF!="Muy Alta",'Mapa final'!#REF!="Leve"),CONCATENATE("R6C",'Mapa final'!#REF!),"")</f>
        <v>#REF!</v>
      </c>
      <c r="O11" s="53" t="e">
        <f>IF(AND('Mapa final'!#REF!="Muy Alta",'Mapa final'!#REF!="Leve"),CONCATENATE("R6C",'Mapa final'!#REF!),"")</f>
        <v>#REF!</v>
      </c>
      <c r="P11" s="51" t="str">
        <f>IF(AND('Mapa final'!$Z$35="Muy Alta",'Mapa final'!$AB$35="Menor"),CONCATENATE("R6C",'Mapa final'!$P$35),"")</f>
        <v/>
      </c>
      <c r="Q11" s="52" t="e">
        <f>IF(AND('Mapa final'!#REF!="Muy Alta",'Mapa final'!#REF!="Menor"),CONCATENATE("R6C",'Mapa final'!#REF!),"")</f>
        <v>#REF!</v>
      </c>
      <c r="R11" s="52" t="e">
        <f>IF(AND('Mapa final'!#REF!="Muy Alta",'Mapa final'!#REF!="Menor"),CONCATENATE("R6C",'Mapa final'!#REF!),"")</f>
        <v>#REF!</v>
      </c>
      <c r="S11" s="52" t="e">
        <f>IF(AND('Mapa final'!#REF!="Muy Alta",'Mapa final'!#REF!="Menor"),CONCATENATE("R6C",'Mapa final'!#REF!),"")</f>
        <v>#REF!</v>
      </c>
      <c r="T11" s="52" t="e">
        <f>IF(AND('Mapa final'!#REF!="Muy Alta",'Mapa final'!#REF!="Menor"),CONCATENATE("R6C",'Mapa final'!#REF!),"")</f>
        <v>#REF!</v>
      </c>
      <c r="U11" s="53" t="e">
        <f>IF(AND('Mapa final'!#REF!="Muy Alta",'Mapa final'!#REF!="Menor"),CONCATENATE("R6C",'Mapa final'!#REF!),"")</f>
        <v>#REF!</v>
      </c>
      <c r="V11" s="51" t="str">
        <f>IF(AND('Mapa final'!$Z$35="Muy Alta",'Mapa final'!$AB$35="Moderado"),CONCATENATE("R6C",'Mapa final'!$P$35),"")</f>
        <v/>
      </c>
      <c r="W11" s="52" t="e">
        <f>IF(AND('Mapa final'!#REF!="Muy Alta",'Mapa final'!#REF!="Moderado"),CONCATENATE("R6C",'Mapa final'!#REF!),"")</f>
        <v>#REF!</v>
      </c>
      <c r="X11" s="52" t="e">
        <f>IF(AND('Mapa final'!#REF!="Muy Alta",'Mapa final'!#REF!="Moderado"),CONCATENATE("R6C",'Mapa final'!#REF!),"")</f>
        <v>#REF!</v>
      </c>
      <c r="Y11" s="52" t="e">
        <f>IF(AND('Mapa final'!#REF!="Muy Alta",'Mapa final'!#REF!="Moderado"),CONCATENATE("R6C",'Mapa final'!#REF!),"")</f>
        <v>#REF!</v>
      </c>
      <c r="Z11" s="52" t="e">
        <f>IF(AND('Mapa final'!#REF!="Muy Alta",'Mapa final'!#REF!="Moderado"),CONCATENATE("R6C",'Mapa final'!#REF!),"")</f>
        <v>#REF!</v>
      </c>
      <c r="AA11" s="53" t="e">
        <f>IF(AND('Mapa final'!#REF!="Muy Alta",'Mapa final'!#REF!="Moderado"),CONCATENATE("R6C",'Mapa final'!#REF!),"")</f>
        <v>#REF!</v>
      </c>
      <c r="AB11" s="51" t="str">
        <f>IF(AND('Mapa final'!$Z$35="Muy Alta",'Mapa final'!$AB$35="Mayor"),CONCATENATE("R6C",'Mapa final'!$P$35),"")</f>
        <v/>
      </c>
      <c r="AC11" s="52" t="e">
        <f>IF(AND('Mapa final'!#REF!="Muy Alta",'Mapa final'!#REF!="Mayor"),CONCATENATE("R6C",'Mapa final'!#REF!),"")</f>
        <v>#REF!</v>
      </c>
      <c r="AD11" s="52" t="e">
        <f>IF(AND('Mapa final'!#REF!="Muy Alta",'Mapa final'!#REF!="Mayor"),CONCATENATE("R6C",'Mapa final'!#REF!),"")</f>
        <v>#REF!</v>
      </c>
      <c r="AE11" s="52" t="e">
        <f>IF(AND('Mapa final'!#REF!="Muy Alta",'Mapa final'!#REF!="Mayor"),CONCATENATE("R6C",'Mapa final'!#REF!),"")</f>
        <v>#REF!</v>
      </c>
      <c r="AF11" s="52" t="e">
        <f>IF(AND('Mapa final'!#REF!="Muy Alta",'Mapa final'!#REF!="Mayor"),CONCATENATE("R6C",'Mapa final'!#REF!),"")</f>
        <v>#REF!</v>
      </c>
      <c r="AG11" s="53" t="e">
        <f>IF(AND('Mapa final'!#REF!="Muy Alta",'Mapa final'!#REF!="Mayor"),CONCATENATE("R6C",'Mapa final'!#REF!),"")</f>
        <v>#REF!</v>
      </c>
      <c r="AH11" s="54" t="str">
        <f>IF(AND('Mapa final'!$Z$35="Muy Alta",'Mapa final'!$AB$35="Catastrófico"),CONCATENATE("R6C",'Mapa final'!$P$35),"")</f>
        <v/>
      </c>
      <c r="AI11" s="55" t="e">
        <f>IF(AND('Mapa final'!#REF!="Muy Alta",'Mapa final'!#REF!="Catastrófico"),CONCATENATE("R6C",'Mapa final'!#REF!),"")</f>
        <v>#REF!</v>
      </c>
      <c r="AJ11" s="55" t="e">
        <f>IF(AND('Mapa final'!#REF!="Muy Alta",'Mapa final'!#REF!="Catastrófico"),CONCATENATE("R6C",'Mapa final'!#REF!),"")</f>
        <v>#REF!</v>
      </c>
      <c r="AK11" s="55" t="e">
        <f>IF(AND('Mapa final'!#REF!="Muy Alta",'Mapa final'!#REF!="Catastrófico"),CONCATENATE("R6C",'Mapa final'!#REF!),"")</f>
        <v>#REF!</v>
      </c>
      <c r="AL11" s="55" t="e">
        <f>IF(AND('Mapa final'!#REF!="Muy Alta",'Mapa final'!#REF!="Catastrófico"),CONCATENATE("R6C",'Mapa final'!#REF!),"")</f>
        <v>#REF!</v>
      </c>
      <c r="AM11" s="56" t="e">
        <f>IF(AND('Mapa final'!#REF!="Muy Alta",'Mapa final'!#REF!="Catastrófico"),CONCATENATE("R6C",'Mapa final'!#REF!),"")</f>
        <v>#REF!</v>
      </c>
      <c r="AN11" s="82"/>
      <c r="AO11" s="420"/>
      <c r="AP11" s="421"/>
      <c r="AQ11" s="421"/>
      <c r="AR11" s="421"/>
      <c r="AS11" s="421"/>
      <c r="AT11" s="42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315"/>
      <c r="C12" s="315"/>
      <c r="D12" s="316"/>
      <c r="E12" s="414"/>
      <c r="F12" s="413"/>
      <c r="G12" s="413"/>
      <c r="H12" s="413"/>
      <c r="I12" s="429"/>
      <c r="J12" s="51" t="str">
        <f>IF(AND('Mapa final'!$Z$36="Muy Alta",'Mapa final'!$AB$36="Leve"),CONCATENATE("R7C",'Mapa final'!$P$36),"")</f>
        <v/>
      </c>
      <c r="K12" s="52" t="e">
        <f>IF(AND('Mapa final'!#REF!="Muy Alta",'Mapa final'!#REF!="Leve"),CONCATENATE("R7C",'Mapa final'!#REF!),"")</f>
        <v>#REF!</v>
      </c>
      <c r="L12" s="52" t="e">
        <f>IF(AND('Mapa final'!#REF!="Muy Alta",'Mapa final'!#REF!="Leve"),CONCATENATE("R7C",'Mapa final'!#REF!),"")</f>
        <v>#REF!</v>
      </c>
      <c r="M12" s="52" t="e">
        <f>IF(AND('Mapa final'!#REF!="Muy Alta",'Mapa final'!#REF!="Leve"),CONCATENATE("R7C",'Mapa final'!#REF!),"")</f>
        <v>#REF!</v>
      </c>
      <c r="N12" s="52" t="e">
        <f>IF(AND('Mapa final'!#REF!="Muy Alta",'Mapa final'!#REF!="Leve"),CONCATENATE("R7C",'Mapa final'!#REF!),"")</f>
        <v>#REF!</v>
      </c>
      <c r="O12" s="53" t="e">
        <f>IF(AND('Mapa final'!#REF!="Muy Alta",'Mapa final'!#REF!="Leve"),CONCATENATE("R7C",'Mapa final'!#REF!),"")</f>
        <v>#REF!</v>
      </c>
      <c r="P12" s="51" t="str">
        <f>IF(AND('Mapa final'!$Z$36="Muy Alta",'Mapa final'!$AB$36="Menor"),CONCATENATE("R7C",'Mapa final'!$P$36),"")</f>
        <v/>
      </c>
      <c r="Q12" s="52" t="e">
        <f>IF(AND('Mapa final'!#REF!="Muy Alta",'Mapa final'!#REF!="Menor"),CONCATENATE("R7C",'Mapa final'!#REF!),"")</f>
        <v>#REF!</v>
      </c>
      <c r="R12" s="52" t="e">
        <f>IF(AND('Mapa final'!#REF!="Muy Alta",'Mapa final'!#REF!="Menor"),CONCATENATE("R7C",'Mapa final'!#REF!),"")</f>
        <v>#REF!</v>
      </c>
      <c r="S12" s="52" t="e">
        <f>IF(AND('Mapa final'!#REF!="Muy Alta",'Mapa final'!#REF!="Menor"),CONCATENATE("R7C",'Mapa final'!#REF!),"")</f>
        <v>#REF!</v>
      </c>
      <c r="T12" s="52" t="e">
        <f>IF(AND('Mapa final'!#REF!="Muy Alta",'Mapa final'!#REF!="Menor"),CONCATENATE("R7C",'Mapa final'!#REF!),"")</f>
        <v>#REF!</v>
      </c>
      <c r="U12" s="53" t="e">
        <f>IF(AND('Mapa final'!#REF!="Muy Alta",'Mapa final'!#REF!="Menor"),CONCATENATE("R7C",'Mapa final'!#REF!),"")</f>
        <v>#REF!</v>
      </c>
      <c r="V12" s="51" t="str">
        <f>IF(AND('Mapa final'!$Z$36="Muy Alta",'Mapa final'!$AB$36="Moderado"),CONCATENATE("R7C",'Mapa final'!$P$36),"")</f>
        <v/>
      </c>
      <c r="W12" s="52" t="e">
        <f>IF(AND('Mapa final'!#REF!="Muy Alta",'Mapa final'!#REF!="Moderado"),CONCATENATE("R7C",'Mapa final'!#REF!),"")</f>
        <v>#REF!</v>
      </c>
      <c r="X12" s="52" t="e">
        <f>IF(AND('Mapa final'!#REF!="Muy Alta",'Mapa final'!#REF!="Moderado"),CONCATENATE("R7C",'Mapa final'!#REF!),"")</f>
        <v>#REF!</v>
      </c>
      <c r="Y12" s="52" t="e">
        <f>IF(AND('Mapa final'!#REF!="Muy Alta",'Mapa final'!#REF!="Moderado"),CONCATENATE("R7C",'Mapa final'!#REF!),"")</f>
        <v>#REF!</v>
      </c>
      <c r="Z12" s="52" t="e">
        <f>IF(AND('Mapa final'!#REF!="Muy Alta",'Mapa final'!#REF!="Moderado"),CONCATENATE("R7C",'Mapa final'!#REF!),"")</f>
        <v>#REF!</v>
      </c>
      <c r="AA12" s="53" t="e">
        <f>IF(AND('Mapa final'!#REF!="Muy Alta",'Mapa final'!#REF!="Moderado"),CONCATENATE("R7C",'Mapa final'!#REF!),"")</f>
        <v>#REF!</v>
      </c>
      <c r="AB12" s="51" t="str">
        <f>IF(AND('Mapa final'!$Z$36="Muy Alta",'Mapa final'!$AB$36="Mayor"),CONCATENATE("R7C",'Mapa final'!$P$36),"")</f>
        <v/>
      </c>
      <c r="AC12" s="52" t="e">
        <f>IF(AND('Mapa final'!#REF!="Muy Alta",'Mapa final'!#REF!="Mayor"),CONCATENATE("R7C",'Mapa final'!#REF!),"")</f>
        <v>#REF!</v>
      </c>
      <c r="AD12" s="52" t="e">
        <f>IF(AND('Mapa final'!#REF!="Muy Alta",'Mapa final'!#REF!="Mayor"),CONCATENATE("R7C",'Mapa final'!#REF!),"")</f>
        <v>#REF!</v>
      </c>
      <c r="AE12" s="52" t="e">
        <f>IF(AND('Mapa final'!#REF!="Muy Alta",'Mapa final'!#REF!="Mayor"),CONCATENATE("R7C",'Mapa final'!#REF!),"")</f>
        <v>#REF!</v>
      </c>
      <c r="AF12" s="52" t="e">
        <f>IF(AND('Mapa final'!#REF!="Muy Alta",'Mapa final'!#REF!="Mayor"),CONCATENATE("R7C",'Mapa final'!#REF!),"")</f>
        <v>#REF!</v>
      </c>
      <c r="AG12" s="53" t="e">
        <f>IF(AND('Mapa final'!#REF!="Muy Alta",'Mapa final'!#REF!="Mayor"),CONCATENATE("R7C",'Mapa final'!#REF!),"")</f>
        <v>#REF!</v>
      </c>
      <c r="AH12" s="54" t="str">
        <f>IF(AND('Mapa final'!$Z$36="Muy Alta",'Mapa final'!$AB$36="Catastrófico"),CONCATENATE("R7C",'Mapa final'!$P$36),"")</f>
        <v/>
      </c>
      <c r="AI12" s="55" t="e">
        <f>IF(AND('Mapa final'!#REF!="Muy Alta",'Mapa final'!#REF!="Catastrófico"),CONCATENATE("R7C",'Mapa final'!#REF!),"")</f>
        <v>#REF!</v>
      </c>
      <c r="AJ12" s="55" t="e">
        <f>IF(AND('Mapa final'!#REF!="Muy Alta",'Mapa final'!#REF!="Catastrófico"),CONCATENATE("R7C",'Mapa final'!#REF!),"")</f>
        <v>#REF!</v>
      </c>
      <c r="AK12" s="55" t="e">
        <f>IF(AND('Mapa final'!#REF!="Muy Alta",'Mapa final'!#REF!="Catastrófico"),CONCATENATE("R7C",'Mapa final'!#REF!),"")</f>
        <v>#REF!</v>
      </c>
      <c r="AL12" s="55" t="e">
        <f>IF(AND('Mapa final'!#REF!="Muy Alta",'Mapa final'!#REF!="Catastrófico"),CONCATENATE("R7C",'Mapa final'!#REF!),"")</f>
        <v>#REF!</v>
      </c>
      <c r="AM12" s="56" t="e">
        <f>IF(AND('Mapa final'!#REF!="Muy Alta",'Mapa final'!#REF!="Catastrófico"),CONCATENATE("R7C",'Mapa final'!#REF!),"")</f>
        <v>#REF!</v>
      </c>
      <c r="AN12" s="82"/>
      <c r="AO12" s="420"/>
      <c r="AP12" s="421"/>
      <c r="AQ12" s="421"/>
      <c r="AR12" s="421"/>
      <c r="AS12" s="421"/>
      <c r="AT12" s="42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315"/>
      <c r="C13" s="315"/>
      <c r="D13" s="316"/>
      <c r="E13" s="414"/>
      <c r="F13" s="413"/>
      <c r="G13" s="413"/>
      <c r="H13" s="413"/>
      <c r="I13" s="429"/>
      <c r="J13" s="51" t="e">
        <f>IF(AND('Mapa final'!#REF!="Muy Alta",'Mapa final'!#REF!="Leve"),CONCATENATE("R8C",'Mapa final'!#REF!),"")</f>
        <v>#REF!</v>
      </c>
      <c r="K13" s="52" t="e">
        <f>IF(AND('Mapa final'!#REF!="Muy Alta",'Mapa final'!#REF!="Leve"),CONCATENATE("R8C",'Mapa final'!#REF!),"")</f>
        <v>#REF!</v>
      </c>
      <c r="L13" s="52" t="e">
        <f>IF(AND('Mapa final'!#REF!="Muy Alta",'Mapa final'!#REF!="Leve"),CONCATENATE("R8C",'Mapa final'!#REF!),"")</f>
        <v>#REF!</v>
      </c>
      <c r="M13" s="52" t="e">
        <f>IF(AND('Mapa final'!#REF!="Muy Alta",'Mapa final'!#REF!="Leve"),CONCATENATE("R8C",'Mapa final'!#REF!),"")</f>
        <v>#REF!</v>
      </c>
      <c r="N13" s="52" t="e">
        <f>IF(AND('Mapa final'!#REF!="Muy Alta",'Mapa final'!#REF!="Leve"),CONCATENATE("R8C",'Mapa final'!#REF!),"")</f>
        <v>#REF!</v>
      </c>
      <c r="O13" s="53" t="e">
        <f>IF(AND('Mapa final'!#REF!="Muy Alta",'Mapa final'!#REF!="Leve"),CONCATENATE("R8C",'Mapa final'!#REF!),"")</f>
        <v>#REF!</v>
      </c>
      <c r="P13" s="51" t="e">
        <f>IF(AND('Mapa final'!#REF!="Muy Alta",'Mapa final'!#REF!="Menor"),CONCATENATE("R8C",'Mapa final'!#REF!),"")</f>
        <v>#REF!</v>
      </c>
      <c r="Q13" s="52" t="e">
        <f>IF(AND('Mapa final'!#REF!="Muy Alta",'Mapa final'!#REF!="Menor"),CONCATENATE("R8C",'Mapa final'!#REF!),"")</f>
        <v>#REF!</v>
      </c>
      <c r="R13" s="52" t="e">
        <f>IF(AND('Mapa final'!#REF!="Muy Alta",'Mapa final'!#REF!="Menor"),CONCATENATE("R8C",'Mapa final'!#REF!),"")</f>
        <v>#REF!</v>
      </c>
      <c r="S13" s="52" t="e">
        <f>IF(AND('Mapa final'!#REF!="Muy Alta",'Mapa final'!#REF!="Menor"),CONCATENATE("R8C",'Mapa final'!#REF!),"")</f>
        <v>#REF!</v>
      </c>
      <c r="T13" s="52" t="e">
        <f>IF(AND('Mapa final'!#REF!="Muy Alta",'Mapa final'!#REF!="Menor"),CONCATENATE("R8C",'Mapa final'!#REF!),"")</f>
        <v>#REF!</v>
      </c>
      <c r="U13" s="53" t="e">
        <f>IF(AND('Mapa final'!#REF!="Muy Alta",'Mapa final'!#REF!="Menor"),CONCATENATE("R8C",'Mapa final'!#REF!),"")</f>
        <v>#REF!</v>
      </c>
      <c r="V13" s="51" t="e">
        <f>IF(AND('Mapa final'!#REF!="Muy Alta",'Mapa final'!#REF!="Moderado"),CONCATENATE("R8C",'Mapa final'!#REF!),"")</f>
        <v>#REF!</v>
      </c>
      <c r="W13" s="52" t="e">
        <f>IF(AND('Mapa final'!#REF!="Muy Alta",'Mapa final'!#REF!="Moderado"),CONCATENATE("R8C",'Mapa final'!#REF!),"")</f>
        <v>#REF!</v>
      </c>
      <c r="X13" s="52" t="e">
        <f>IF(AND('Mapa final'!#REF!="Muy Alta",'Mapa final'!#REF!="Moderado"),CONCATENATE("R8C",'Mapa final'!#REF!),"")</f>
        <v>#REF!</v>
      </c>
      <c r="Y13" s="52" t="e">
        <f>IF(AND('Mapa final'!#REF!="Muy Alta",'Mapa final'!#REF!="Moderado"),CONCATENATE("R8C",'Mapa final'!#REF!),"")</f>
        <v>#REF!</v>
      </c>
      <c r="Z13" s="52" t="e">
        <f>IF(AND('Mapa final'!#REF!="Muy Alta",'Mapa final'!#REF!="Moderado"),CONCATENATE("R8C",'Mapa final'!#REF!),"")</f>
        <v>#REF!</v>
      </c>
      <c r="AA13" s="53" t="e">
        <f>IF(AND('Mapa final'!#REF!="Muy Alta",'Mapa final'!#REF!="Moderado"),CONCATENATE("R8C",'Mapa final'!#REF!),"")</f>
        <v>#REF!</v>
      </c>
      <c r="AB13" s="51" t="e">
        <f>IF(AND('Mapa final'!#REF!="Muy Alta",'Mapa final'!#REF!="Mayor"),CONCATENATE("R8C",'Mapa final'!#REF!),"")</f>
        <v>#REF!</v>
      </c>
      <c r="AC13" s="52" t="e">
        <f>IF(AND('Mapa final'!#REF!="Muy Alta",'Mapa final'!#REF!="Mayor"),CONCATENATE("R8C",'Mapa final'!#REF!),"")</f>
        <v>#REF!</v>
      </c>
      <c r="AD13" s="52" t="e">
        <f>IF(AND('Mapa final'!#REF!="Muy Alta",'Mapa final'!#REF!="Mayor"),CONCATENATE("R8C",'Mapa final'!#REF!),"")</f>
        <v>#REF!</v>
      </c>
      <c r="AE13" s="52" t="e">
        <f>IF(AND('Mapa final'!#REF!="Muy Alta",'Mapa final'!#REF!="Mayor"),CONCATENATE("R8C",'Mapa final'!#REF!),"")</f>
        <v>#REF!</v>
      </c>
      <c r="AF13" s="52" t="e">
        <f>IF(AND('Mapa final'!#REF!="Muy Alta",'Mapa final'!#REF!="Mayor"),CONCATENATE("R8C",'Mapa final'!#REF!),"")</f>
        <v>#REF!</v>
      </c>
      <c r="AG13" s="53" t="e">
        <f>IF(AND('Mapa final'!#REF!="Muy Alta",'Mapa final'!#REF!="Mayor"),CONCATENATE("R8C",'Mapa final'!#REF!),"")</f>
        <v>#REF!</v>
      </c>
      <c r="AH13" s="54" t="e">
        <f>IF(AND('Mapa final'!#REF!="Muy Alta",'Mapa final'!#REF!="Catastrófico"),CONCATENATE("R8C",'Mapa final'!#REF!),"")</f>
        <v>#REF!</v>
      </c>
      <c r="AI13" s="55" t="e">
        <f>IF(AND('Mapa final'!#REF!="Muy Alta",'Mapa final'!#REF!="Catastrófico"),CONCATENATE("R8C",'Mapa final'!#REF!),"")</f>
        <v>#REF!</v>
      </c>
      <c r="AJ13" s="55" t="e">
        <f>IF(AND('Mapa final'!#REF!="Muy Alta",'Mapa final'!#REF!="Catastrófico"),CONCATENATE("R8C",'Mapa final'!#REF!),"")</f>
        <v>#REF!</v>
      </c>
      <c r="AK13" s="55" t="e">
        <f>IF(AND('Mapa final'!#REF!="Muy Alta",'Mapa final'!#REF!="Catastrófico"),CONCATENATE("R8C",'Mapa final'!#REF!),"")</f>
        <v>#REF!</v>
      </c>
      <c r="AL13" s="55" t="e">
        <f>IF(AND('Mapa final'!#REF!="Muy Alta",'Mapa final'!#REF!="Catastrófico"),CONCATENATE("R8C",'Mapa final'!#REF!),"")</f>
        <v>#REF!</v>
      </c>
      <c r="AM13" s="56" t="e">
        <f>IF(AND('Mapa final'!#REF!="Muy Alta",'Mapa final'!#REF!="Catastrófico"),CONCATENATE("R8C",'Mapa final'!#REF!),"")</f>
        <v>#REF!</v>
      </c>
      <c r="AN13" s="82"/>
      <c r="AO13" s="420"/>
      <c r="AP13" s="421"/>
      <c r="AQ13" s="421"/>
      <c r="AR13" s="421"/>
      <c r="AS13" s="421"/>
      <c r="AT13" s="42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315"/>
      <c r="C14" s="315"/>
      <c r="D14" s="316"/>
      <c r="E14" s="414"/>
      <c r="F14" s="413"/>
      <c r="G14" s="413"/>
      <c r="H14" s="413"/>
      <c r="I14" s="429"/>
      <c r="J14" s="51" t="str">
        <f>IF(AND('Mapa final'!$Z$37="Muy Alta",'Mapa final'!$AB$37="Leve"),CONCATENATE("R9C",'Mapa final'!$P$37),"")</f>
        <v/>
      </c>
      <c r="K14" s="52" t="e">
        <f>IF(AND('Mapa final'!#REF!="Muy Alta",'Mapa final'!#REF!="Leve"),CONCATENATE("R9C",'Mapa final'!#REF!),"")</f>
        <v>#REF!</v>
      </c>
      <c r="L14" s="52" t="e">
        <f>IF(AND('Mapa final'!#REF!="Muy Alta",'Mapa final'!#REF!="Leve"),CONCATENATE("R9C",'Mapa final'!#REF!),"")</f>
        <v>#REF!</v>
      </c>
      <c r="M14" s="52" t="e">
        <f>IF(AND('Mapa final'!#REF!="Muy Alta",'Mapa final'!#REF!="Leve"),CONCATENATE("R9C",'Mapa final'!#REF!),"")</f>
        <v>#REF!</v>
      </c>
      <c r="N14" s="52" t="e">
        <f>IF(AND('Mapa final'!#REF!="Muy Alta",'Mapa final'!#REF!="Leve"),CONCATENATE("R9C",'Mapa final'!#REF!),"")</f>
        <v>#REF!</v>
      </c>
      <c r="O14" s="53" t="e">
        <f>IF(AND('Mapa final'!#REF!="Muy Alta",'Mapa final'!#REF!="Leve"),CONCATENATE("R9C",'Mapa final'!#REF!),"")</f>
        <v>#REF!</v>
      </c>
      <c r="P14" s="51" t="str">
        <f>IF(AND('Mapa final'!$Z$37="Muy Alta",'Mapa final'!$AB$37="Menor"),CONCATENATE("R9C",'Mapa final'!$P$37),"")</f>
        <v/>
      </c>
      <c r="Q14" s="52" t="e">
        <f>IF(AND('Mapa final'!#REF!="Muy Alta",'Mapa final'!#REF!="Menor"),CONCATENATE("R9C",'Mapa final'!#REF!),"")</f>
        <v>#REF!</v>
      </c>
      <c r="R14" s="52" t="e">
        <f>IF(AND('Mapa final'!#REF!="Muy Alta",'Mapa final'!#REF!="Menor"),CONCATENATE("R9C",'Mapa final'!#REF!),"")</f>
        <v>#REF!</v>
      </c>
      <c r="S14" s="52" t="e">
        <f>IF(AND('Mapa final'!#REF!="Muy Alta",'Mapa final'!#REF!="Menor"),CONCATENATE("R9C",'Mapa final'!#REF!),"")</f>
        <v>#REF!</v>
      </c>
      <c r="T14" s="52" t="e">
        <f>IF(AND('Mapa final'!#REF!="Muy Alta",'Mapa final'!#REF!="Menor"),CONCATENATE("R9C",'Mapa final'!#REF!),"")</f>
        <v>#REF!</v>
      </c>
      <c r="U14" s="53" t="e">
        <f>IF(AND('Mapa final'!#REF!="Muy Alta",'Mapa final'!#REF!="Menor"),CONCATENATE("R9C",'Mapa final'!#REF!),"")</f>
        <v>#REF!</v>
      </c>
      <c r="V14" s="51" t="str">
        <f>IF(AND('Mapa final'!$Z$37="Muy Alta",'Mapa final'!$AB$37="Moderado"),CONCATENATE("R9C",'Mapa final'!$P$37),"")</f>
        <v/>
      </c>
      <c r="W14" s="52" t="e">
        <f>IF(AND('Mapa final'!#REF!="Muy Alta",'Mapa final'!#REF!="Moderado"),CONCATENATE("R9C",'Mapa final'!#REF!),"")</f>
        <v>#REF!</v>
      </c>
      <c r="X14" s="52" t="e">
        <f>IF(AND('Mapa final'!#REF!="Muy Alta",'Mapa final'!#REF!="Moderado"),CONCATENATE("R9C",'Mapa final'!#REF!),"")</f>
        <v>#REF!</v>
      </c>
      <c r="Y14" s="52" t="e">
        <f>IF(AND('Mapa final'!#REF!="Muy Alta",'Mapa final'!#REF!="Moderado"),CONCATENATE("R9C",'Mapa final'!#REF!),"")</f>
        <v>#REF!</v>
      </c>
      <c r="Z14" s="52" t="e">
        <f>IF(AND('Mapa final'!#REF!="Muy Alta",'Mapa final'!#REF!="Moderado"),CONCATENATE("R9C",'Mapa final'!#REF!),"")</f>
        <v>#REF!</v>
      </c>
      <c r="AA14" s="53" t="e">
        <f>IF(AND('Mapa final'!#REF!="Muy Alta",'Mapa final'!#REF!="Moderado"),CONCATENATE("R9C",'Mapa final'!#REF!),"")</f>
        <v>#REF!</v>
      </c>
      <c r="AB14" s="51" t="str">
        <f>IF(AND('Mapa final'!$Z$37="Muy Alta",'Mapa final'!$AB$37="Mayor"),CONCATENATE("R9C",'Mapa final'!$P$37),"")</f>
        <v/>
      </c>
      <c r="AC14" s="52" t="e">
        <f>IF(AND('Mapa final'!#REF!="Muy Alta",'Mapa final'!#REF!="Mayor"),CONCATENATE("R9C",'Mapa final'!#REF!),"")</f>
        <v>#REF!</v>
      </c>
      <c r="AD14" s="52" t="e">
        <f>IF(AND('Mapa final'!#REF!="Muy Alta",'Mapa final'!#REF!="Mayor"),CONCATENATE("R9C",'Mapa final'!#REF!),"")</f>
        <v>#REF!</v>
      </c>
      <c r="AE14" s="52" t="e">
        <f>IF(AND('Mapa final'!#REF!="Muy Alta",'Mapa final'!#REF!="Mayor"),CONCATENATE("R9C",'Mapa final'!#REF!),"")</f>
        <v>#REF!</v>
      </c>
      <c r="AF14" s="52" t="e">
        <f>IF(AND('Mapa final'!#REF!="Muy Alta",'Mapa final'!#REF!="Mayor"),CONCATENATE("R9C",'Mapa final'!#REF!),"")</f>
        <v>#REF!</v>
      </c>
      <c r="AG14" s="53" t="e">
        <f>IF(AND('Mapa final'!#REF!="Muy Alta",'Mapa final'!#REF!="Mayor"),CONCATENATE("R9C",'Mapa final'!#REF!),"")</f>
        <v>#REF!</v>
      </c>
      <c r="AH14" s="54" t="str">
        <f>IF(AND('Mapa final'!$Z$37="Muy Alta",'Mapa final'!$AB$37="Catastrófico"),CONCATENATE("R9C",'Mapa final'!$P$37),"")</f>
        <v/>
      </c>
      <c r="AI14" s="55" t="e">
        <f>IF(AND('Mapa final'!#REF!="Muy Alta",'Mapa final'!#REF!="Catastrófico"),CONCATENATE("R9C",'Mapa final'!#REF!),"")</f>
        <v>#REF!</v>
      </c>
      <c r="AJ14" s="55" t="e">
        <f>IF(AND('Mapa final'!#REF!="Muy Alta",'Mapa final'!#REF!="Catastrófico"),CONCATENATE("R9C",'Mapa final'!#REF!),"")</f>
        <v>#REF!</v>
      </c>
      <c r="AK14" s="55" t="e">
        <f>IF(AND('Mapa final'!#REF!="Muy Alta",'Mapa final'!#REF!="Catastrófico"),CONCATENATE("R9C",'Mapa final'!#REF!),"")</f>
        <v>#REF!</v>
      </c>
      <c r="AL14" s="55" t="e">
        <f>IF(AND('Mapa final'!#REF!="Muy Alta",'Mapa final'!#REF!="Catastrófico"),CONCATENATE("R9C",'Mapa final'!#REF!),"")</f>
        <v>#REF!</v>
      </c>
      <c r="AM14" s="56" t="e">
        <f>IF(AND('Mapa final'!#REF!="Muy Alta",'Mapa final'!#REF!="Catastrófico"),CONCATENATE("R9C",'Mapa final'!#REF!),"")</f>
        <v>#REF!</v>
      </c>
      <c r="AN14" s="82"/>
      <c r="AO14" s="420"/>
      <c r="AP14" s="421"/>
      <c r="AQ14" s="421"/>
      <c r="AR14" s="421"/>
      <c r="AS14" s="421"/>
      <c r="AT14" s="42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315"/>
      <c r="C15" s="315"/>
      <c r="D15" s="316"/>
      <c r="E15" s="415"/>
      <c r="F15" s="416"/>
      <c r="G15" s="416"/>
      <c r="H15" s="416"/>
      <c r="I15" s="430"/>
      <c r="J15" s="57" t="str">
        <f>IF(AND('Mapa final'!$Z$38="Muy Alta",'Mapa final'!$AB$38="Leve"),CONCATENATE("R10C",'Mapa final'!$P$38),"")</f>
        <v/>
      </c>
      <c r="K15" s="58" t="e">
        <f>IF(AND('Mapa final'!#REF!="Muy Alta",'Mapa final'!#REF!="Leve"),CONCATENATE("R10C",'Mapa final'!#REF!),"")</f>
        <v>#REF!</v>
      </c>
      <c r="L15" s="58" t="e">
        <f>IF(AND('Mapa final'!#REF!="Muy Alta",'Mapa final'!#REF!="Leve"),CONCATENATE("R10C",'Mapa final'!#REF!),"")</f>
        <v>#REF!</v>
      </c>
      <c r="M15" s="58" t="e">
        <f>IF(AND('Mapa final'!#REF!="Muy Alta",'Mapa final'!#REF!="Leve"),CONCATENATE("R10C",'Mapa final'!#REF!),"")</f>
        <v>#REF!</v>
      </c>
      <c r="N15" s="58" t="e">
        <f>IF(AND('Mapa final'!#REF!="Muy Alta",'Mapa final'!#REF!="Leve"),CONCATENATE("R10C",'Mapa final'!#REF!),"")</f>
        <v>#REF!</v>
      </c>
      <c r="O15" s="59" t="e">
        <f>IF(AND('Mapa final'!#REF!="Muy Alta",'Mapa final'!#REF!="Leve"),CONCATENATE("R10C",'Mapa final'!#REF!),"")</f>
        <v>#REF!</v>
      </c>
      <c r="P15" s="51" t="str">
        <f>IF(AND('Mapa final'!$Z$38="Muy Alta",'Mapa final'!$AB$38="Menor"),CONCATENATE("R10C",'Mapa final'!$P$38),"")</f>
        <v/>
      </c>
      <c r="Q15" s="52" t="e">
        <f>IF(AND('Mapa final'!#REF!="Muy Alta",'Mapa final'!#REF!="Menor"),CONCATENATE("R10C",'Mapa final'!#REF!),"")</f>
        <v>#REF!</v>
      </c>
      <c r="R15" s="52" t="e">
        <f>IF(AND('Mapa final'!#REF!="Muy Alta",'Mapa final'!#REF!="Menor"),CONCATENATE("R10C",'Mapa final'!#REF!),"")</f>
        <v>#REF!</v>
      </c>
      <c r="S15" s="52" t="e">
        <f>IF(AND('Mapa final'!#REF!="Muy Alta",'Mapa final'!#REF!="Menor"),CONCATENATE("R10C",'Mapa final'!#REF!),"")</f>
        <v>#REF!</v>
      </c>
      <c r="T15" s="52" t="e">
        <f>IF(AND('Mapa final'!#REF!="Muy Alta",'Mapa final'!#REF!="Menor"),CONCATENATE("R10C",'Mapa final'!#REF!),"")</f>
        <v>#REF!</v>
      </c>
      <c r="U15" s="53" t="e">
        <f>IF(AND('Mapa final'!#REF!="Muy Alta",'Mapa final'!#REF!="Menor"),CONCATENATE("R10C",'Mapa final'!#REF!),"")</f>
        <v>#REF!</v>
      </c>
      <c r="V15" s="57" t="str">
        <f>IF(AND('Mapa final'!$Z$38="Muy Alta",'Mapa final'!$AB$38="Moderado"),CONCATENATE("R10C",'Mapa final'!$P$38),"")</f>
        <v/>
      </c>
      <c r="W15" s="58" t="e">
        <f>IF(AND('Mapa final'!#REF!="Muy Alta",'Mapa final'!#REF!="Moderado"),CONCATENATE("R10C",'Mapa final'!#REF!),"")</f>
        <v>#REF!</v>
      </c>
      <c r="X15" s="58" t="e">
        <f>IF(AND('Mapa final'!#REF!="Muy Alta",'Mapa final'!#REF!="Moderado"),CONCATENATE("R10C",'Mapa final'!#REF!),"")</f>
        <v>#REF!</v>
      </c>
      <c r="Y15" s="58" t="e">
        <f>IF(AND('Mapa final'!#REF!="Muy Alta",'Mapa final'!#REF!="Moderado"),CONCATENATE("R10C",'Mapa final'!#REF!),"")</f>
        <v>#REF!</v>
      </c>
      <c r="Z15" s="58" t="e">
        <f>IF(AND('Mapa final'!#REF!="Muy Alta",'Mapa final'!#REF!="Moderado"),CONCATENATE("R10C",'Mapa final'!#REF!),"")</f>
        <v>#REF!</v>
      </c>
      <c r="AA15" s="59" t="e">
        <f>IF(AND('Mapa final'!#REF!="Muy Alta",'Mapa final'!#REF!="Moderado"),CONCATENATE("R10C",'Mapa final'!#REF!),"")</f>
        <v>#REF!</v>
      </c>
      <c r="AB15" s="51" t="str">
        <f>IF(AND('Mapa final'!$Z$38="Muy Alta",'Mapa final'!$AB$38="Mayor"),CONCATENATE("R10C",'Mapa final'!$P$38),"")</f>
        <v/>
      </c>
      <c r="AC15" s="52" t="e">
        <f>IF(AND('Mapa final'!#REF!="Muy Alta",'Mapa final'!#REF!="Mayor"),CONCATENATE("R10C",'Mapa final'!#REF!),"")</f>
        <v>#REF!</v>
      </c>
      <c r="AD15" s="52" t="e">
        <f>IF(AND('Mapa final'!#REF!="Muy Alta",'Mapa final'!#REF!="Mayor"),CONCATENATE("R10C",'Mapa final'!#REF!),"")</f>
        <v>#REF!</v>
      </c>
      <c r="AE15" s="52" t="e">
        <f>IF(AND('Mapa final'!#REF!="Muy Alta",'Mapa final'!#REF!="Mayor"),CONCATENATE("R10C",'Mapa final'!#REF!),"")</f>
        <v>#REF!</v>
      </c>
      <c r="AF15" s="52" t="e">
        <f>IF(AND('Mapa final'!#REF!="Muy Alta",'Mapa final'!#REF!="Mayor"),CONCATENATE("R10C",'Mapa final'!#REF!),"")</f>
        <v>#REF!</v>
      </c>
      <c r="AG15" s="53" t="e">
        <f>IF(AND('Mapa final'!#REF!="Muy Alta",'Mapa final'!#REF!="Mayor"),CONCATENATE("R10C",'Mapa final'!#REF!),"")</f>
        <v>#REF!</v>
      </c>
      <c r="AH15" s="60" t="str">
        <f>IF(AND('Mapa final'!$Z$38="Muy Alta",'Mapa final'!$AB$38="Catastrófico"),CONCATENATE("R10C",'Mapa final'!$P$38),"")</f>
        <v/>
      </c>
      <c r="AI15" s="61" t="e">
        <f>IF(AND('Mapa final'!#REF!="Muy Alta",'Mapa final'!#REF!="Catastrófico"),CONCATENATE("R10C",'Mapa final'!#REF!),"")</f>
        <v>#REF!</v>
      </c>
      <c r="AJ15" s="61" t="e">
        <f>IF(AND('Mapa final'!#REF!="Muy Alta",'Mapa final'!#REF!="Catastrófico"),CONCATENATE("R10C",'Mapa final'!#REF!),"")</f>
        <v>#REF!</v>
      </c>
      <c r="AK15" s="61" t="e">
        <f>IF(AND('Mapa final'!#REF!="Muy Alta",'Mapa final'!#REF!="Catastrófico"),CONCATENATE("R10C",'Mapa final'!#REF!),"")</f>
        <v>#REF!</v>
      </c>
      <c r="AL15" s="61" t="e">
        <f>IF(AND('Mapa final'!#REF!="Muy Alta",'Mapa final'!#REF!="Catastrófico"),CONCATENATE("R10C",'Mapa final'!#REF!),"")</f>
        <v>#REF!</v>
      </c>
      <c r="AM15" s="62" t="e">
        <f>IF(AND('Mapa final'!#REF!="Muy Alta",'Mapa final'!#REF!="Catastrófico"),CONCATENATE("R10C",'Mapa final'!#REF!),"")</f>
        <v>#REF!</v>
      </c>
      <c r="AN15" s="82"/>
      <c r="AO15" s="423"/>
      <c r="AP15" s="424"/>
      <c r="AQ15" s="424"/>
      <c r="AR15" s="424"/>
      <c r="AS15" s="424"/>
      <c r="AT15" s="425"/>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315"/>
      <c r="C16" s="315"/>
      <c r="D16" s="316"/>
      <c r="E16" s="410" t="s">
        <v>114</v>
      </c>
      <c r="F16" s="411"/>
      <c r="G16" s="411"/>
      <c r="H16" s="411"/>
      <c r="I16" s="411"/>
      <c r="J16" s="63" t="str">
        <f>IF(AND('Mapa final'!$Z$10="Alta",'Mapa final'!$AB$10="Leve"),CONCATENATE("R1C",'Mapa final'!$P$10),"")</f>
        <v/>
      </c>
      <c r="K16" s="64" t="str">
        <f>IF(AND('Mapa final'!$Z$11="Alta",'Mapa final'!$AB$11="Leve"),CONCATENATE("R1C",'Mapa final'!$P$11),"")</f>
        <v/>
      </c>
      <c r="L16" s="64" t="str">
        <f>IF(AND('Mapa final'!$Z$12="Alta",'Mapa final'!$AB$12="Leve"),CONCATENATE("R1C",'Mapa final'!$P$12),"")</f>
        <v/>
      </c>
      <c r="M16" s="64" t="e">
        <f>IF(AND('Mapa final'!#REF!="Alta",'Mapa final'!#REF!="Leve"),CONCATENATE("R1C",'Mapa final'!#REF!),"")</f>
        <v>#REF!</v>
      </c>
      <c r="N16" s="64" t="e">
        <f>IF(AND('Mapa final'!#REF!="Alta",'Mapa final'!#REF!="Leve"),CONCATENATE("R1C",'Mapa final'!#REF!),"")</f>
        <v>#REF!</v>
      </c>
      <c r="O16" s="65" t="e">
        <f>IF(AND('Mapa final'!#REF!="Alta",'Mapa final'!#REF!="Leve"),CONCATENATE("R1C",'Mapa final'!#REF!),"")</f>
        <v>#REF!</v>
      </c>
      <c r="P16" s="63" t="str">
        <f>IF(AND('Mapa final'!$Z$10="Alta",'Mapa final'!$AB$10="Menor"),CONCATENATE("R1C",'Mapa final'!$P$10),"")</f>
        <v/>
      </c>
      <c r="Q16" s="64" t="str">
        <f>IF(AND('Mapa final'!$Z$11="Alta",'Mapa final'!$AB$11="Menor"),CONCATENATE("R1C",'Mapa final'!$P$11),"")</f>
        <v/>
      </c>
      <c r="R16" s="64" t="str">
        <f>IF(AND('Mapa final'!$Z$12="Alta",'Mapa final'!$AB$12="Menor"),CONCATENATE("R1C",'Mapa final'!$P$12),"")</f>
        <v/>
      </c>
      <c r="S16" s="64" t="e">
        <f>IF(AND('Mapa final'!#REF!="Alta",'Mapa final'!#REF!="Menor"),CONCATENATE("R1C",'Mapa final'!#REF!),"")</f>
        <v>#REF!</v>
      </c>
      <c r="T16" s="64" t="e">
        <f>IF(AND('Mapa final'!#REF!="Alta",'Mapa final'!#REF!="Menor"),CONCATENATE("R1C",'Mapa final'!#REF!),"")</f>
        <v>#REF!</v>
      </c>
      <c r="U16" s="65" t="e">
        <f>IF(AND('Mapa final'!#REF!="Alta",'Mapa final'!#REF!="Menor"),CONCATENATE("R1C",'Mapa final'!#REF!),"")</f>
        <v>#REF!</v>
      </c>
      <c r="V16" s="45" t="str">
        <f>IF(AND('Mapa final'!$Z$10="Alta",'Mapa final'!$AB$10="Moderado"),CONCATENATE("R1C",'Mapa final'!$P$10),"")</f>
        <v/>
      </c>
      <c r="W16" s="46" t="str">
        <f>IF(AND('Mapa final'!$Z$11="Alta",'Mapa final'!$AB$11="Moderado"),CONCATENATE("R1C",'Mapa final'!$P$11),"")</f>
        <v/>
      </c>
      <c r="X16" s="46" t="str">
        <f>IF(AND('Mapa final'!$Z$12="Alta",'Mapa final'!$AB$12="Moderado"),CONCATENATE("R1C",'Mapa final'!$P$12),"")</f>
        <v/>
      </c>
      <c r="Y16" s="46" t="e">
        <f>IF(AND('Mapa final'!#REF!="Alta",'Mapa final'!#REF!="Moderado"),CONCATENATE("R1C",'Mapa final'!#REF!),"")</f>
        <v>#REF!</v>
      </c>
      <c r="Z16" s="46" t="e">
        <f>IF(AND('Mapa final'!#REF!="Alta",'Mapa final'!#REF!="Moderado"),CONCATENATE("R1C",'Mapa final'!#REF!),"")</f>
        <v>#REF!</v>
      </c>
      <c r="AA16" s="47" t="e">
        <f>IF(AND('Mapa final'!#REF!="Alta",'Mapa final'!#REF!="Moderado"),CONCATENATE("R1C",'Mapa final'!#REF!),"")</f>
        <v>#REF!</v>
      </c>
      <c r="AB16" s="45" t="str">
        <f>IF(AND('Mapa final'!$Z$10="Alta",'Mapa final'!$AB$10="Mayor"),CONCATENATE("R1C",'Mapa final'!$P$10),"")</f>
        <v/>
      </c>
      <c r="AC16" s="46" t="str">
        <f>IF(AND('Mapa final'!$Z$11="Alta",'Mapa final'!$AB$11="Mayor"),CONCATENATE("R1C",'Mapa final'!$P$11),"")</f>
        <v/>
      </c>
      <c r="AD16" s="46" t="str">
        <f>IF(AND('Mapa final'!$Z$12="Alta",'Mapa final'!$AB$12="Mayor"),CONCATENATE("R1C",'Mapa final'!$P$12),"")</f>
        <v/>
      </c>
      <c r="AE16" s="46" t="e">
        <f>IF(AND('Mapa final'!#REF!="Alta",'Mapa final'!#REF!="Mayor"),CONCATENATE("R1C",'Mapa final'!#REF!),"")</f>
        <v>#REF!</v>
      </c>
      <c r="AF16" s="46" t="e">
        <f>IF(AND('Mapa final'!#REF!="Alta",'Mapa final'!#REF!="Mayor"),CONCATENATE("R1C",'Mapa final'!#REF!),"")</f>
        <v>#REF!</v>
      </c>
      <c r="AG16" s="47" t="e">
        <f>IF(AND('Mapa final'!#REF!="Alta",'Mapa final'!#REF!="Mayor"),CONCATENATE("R1C",'Mapa final'!#REF!),"")</f>
        <v>#REF!</v>
      </c>
      <c r="AH16" s="48" t="str">
        <f>IF(AND('Mapa final'!$Z$10="Alta",'Mapa final'!$AB$10="Catastrófico"),CONCATENATE("R1C",'Mapa final'!$P$10),"")</f>
        <v/>
      </c>
      <c r="AI16" s="49" t="str">
        <f>IF(AND('Mapa final'!$Z$11="Alta",'Mapa final'!$AB$11="Catastrófico"),CONCATENATE("R1C",'Mapa final'!$P$11),"")</f>
        <v/>
      </c>
      <c r="AJ16" s="49" t="str">
        <f>IF(AND('Mapa final'!$Z$12="Alta",'Mapa final'!$AB$12="Catastrófico"),CONCATENATE("R1C",'Mapa final'!$P$12),"")</f>
        <v/>
      </c>
      <c r="AK16" s="49" t="e">
        <f>IF(AND('Mapa final'!#REF!="Alta",'Mapa final'!#REF!="Catastrófico"),CONCATENATE("R1C",'Mapa final'!#REF!),"")</f>
        <v>#REF!</v>
      </c>
      <c r="AL16" s="49" t="e">
        <f>IF(AND('Mapa final'!#REF!="Alta",'Mapa final'!#REF!="Catastrófico"),CONCATENATE("R1C",'Mapa final'!#REF!),"")</f>
        <v>#REF!</v>
      </c>
      <c r="AM16" s="50" t="e">
        <f>IF(AND('Mapa final'!#REF!="Alta",'Mapa final'!#REF!="Catastrófico"),CONCATENATE("R1C",'Mapa final'!#REF!),"")</f>
        <v>#REF!</v>
      </c>
      <c r="AN16" s="82"/>
      <c r="AO16" s="401" t="s">
        <v>79</v>
      </c>
      <c r="AP16" s="402"/>
      <c r="AQ16" s="402"/>
      <c r="AR16" s="402"/>
      <c r="AS16" s="402"/>
      <c r="AT16" s="403"/>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315"/>
      <c r="C17" s="315"/>
      <c r="D17" s="316"/>
      <c r="E17" s="412"/>
      <c r="F17" s="413"/>
      <c r="G17" s="413"/>
      <c r="H17" s="413"/>
      <c r="I17" s="413"/>
      <c r="J17" s="66" t="str">
        <f>IF(AND('Mapa final'!$Z$13="Alta",'Mapa final'!$AB$13="Leve"),CONCATENATE("R2C",'Mapa final'!$P$13),"")</f>
        <v/>
      </c>
      <c r="K17" s="67" t="str">
        <f>IF(AND('Mapa final'!$Z$14="Alta",'Mapa final'!$AB$14="Leve"),CONCATENATE("R2C",'Mapa final'!$P$14),"")</f>
        <v/>
      </c>
      <c r="L17" s="67" t="str">
        <f>IF(AND('Mapa final'!$Z$15="Alta",'Mapa final'!$AB$15="Leve"),CONCATENATE("R2C",'Mapa final'!$P$15),"")</f>
        <v/>
      </c>
      <c r="M17" s="67" t="str">
        <f>IF(AND('Mapa final'!$Z$16="Alta",'Mapa final'!$AB$16="Leve"),CONCATENATE("R2C",'Mapa final'!$P$16),"")</f>
        <v/>
      </c>
      <c r="N17" s="67" t="e">
        <f>IF(AND('Mapa final'!#REF!="Alta",'Mapa final'!#REF!="Leve"),CONCATENATE("R2C",'Mapa final'!#REF!),"")</f>
        <v>#REF!</v>
      </c>
      <c r="O17" s="68" t="e">
        <f>IF(AND('Mapa final'!#REF!="Alta",'Mapa final'!#REF!="Leve"),CONCATENATE("R2C",'Mapa final'!#REF!),"")</f>
        <v>#REF!</v>
      </c>
      <c r="P17" s="66" t="str">
        <f>IF(AND('Mapa final'!$Z$13="Alta",'Mapa final'!$AB$13="Menor"),CONCATENATE("R2C",'Mapa final'!$P$13),"")</f>
        <v/>
      </c>
      <c r="Q17" s="67" t="str">
        <f>IF(AND('Mapa final'!$Z$14="Alta",'Mapa final'!$AB$14="Menor"),CONCATENATE("R2C",'Mapa final'!$P$14),"")</f>
        <v/>
      </c>
      <c r="R17" s="67" t="str">
        <f>IF(AND('Mapa final'!$Z$15="Alta",'Mapa final'!$AB$15="Menor"),CONCATENATE("R2C",'Mapa final'!$P$15),"")</f>
        <v/>
      </c>
      <c r="S17" s="67" t="str">
        <f>IF(AND('Mapa final'!$Z$16="Alta",'Mapa final'!$AB$16="Menor"),CONCATENATE("R2C",'Mapa final'!$P$16),"")</f>
        <v/>
      </c>
      <c r="T17" s="67" t="e">
        <f>IF(AND('Mapa final'!#REF!="Alta",'Mapa final'!#REF!="Menor"),CONCATENATE("R2C",'Mapa final'!#REF!),"")</f>
        <v>#REF!</v>
      </c>
      <c r="U17" s="68" t="e">
        <f>IF(AND('Mapa final'!#REF!="Alta",'Mapa final'!#REF!="Menor"),CONCATENATE("R2C",'Mapa final'!#REF!),"")</f>
        <v>#REF!</v>
      </c>
      <c r="V17" s="51" t="str">
        <f>IF(AND('Mapa final'!$Z$13="Alta",'Mapa final'!$AB$13="Moderado"),CONCATENATE("R2C",'Mapa final'!$P$13),"")</f>
        <v/>
      </c>
      <c r="W17" s="52" t="str">
        <f>IF(AND('Mapa final'!$Z$14="Alta",'Mapa final'!$AB$14="Moderado"),CONCATENATE("R2C",'Mapa final'!$P$14),"")</f>
        <v/>
      </c>
      <c r="X17" s="52" t="str">
        <f>IF(AND('Mapa final'!$Z$15="Alta",'Mapa final'!$AB$15="Moderado"),CONCATENATE("R2C",'Mapa final'!$P$15),"")</f>
        <v/>
      </c>
      <c r="Y17" s="52" t="str">
        <f>IF(AND('Mapa final'!$Z$16="Alta",'Mapa final'!$AB$16="Moderado"),CONCATENATE("R2C",'Mapa final'!$P$16),"")</f>
        <v/>
      </c>
      <c r="Z17" s="52" t="e">
        <f>IF(AND('Mapa final'!#REF!="Alta",'Mapa final'!#REF!="Moderado"),CONCATENATE("R2C",'Mapa final'!#REF!),"")</f>
        <v>#REF!</v>
      </c>
      <c r="AA17" s="53" t="e">
        <f>IF(AND('Mapa final'!#REF!="Alta",'Mapa final'!#REF!="Moderado"),CONCATENATE("R2C",'Mapa final'!#REF!),"")</f>
        <v>#REF!</v>
      </c>
      <c r="AB17" s="51" t="str">
        <f>IF(AND('Mapa final'!$Z$13="Alta",'Mapa final'!$AB$13="Mayor"),CONCATENATE("R2C",'Mapa final'!$P$13),"")</f>
        <v/>
      </c>
      <c r="AC17" s="52" t="str">
        <f>IF(AND('Mapa final'!$Z$14="Alta",'Mapa final'!$AB$14="Mayor"),CONCATENATE("R2C",'Mapa final'!$P$14),"")</f>
        <v/>
      </c>
      <c r="AD17" s="52" t="str">
        <f>IF(AND('Mapa final'!$Z$15="Alta",'Mapa final'!$AB$15="Mayor"),CONCATENATE("R2C",'Mapa final'!$P$15),"")</f>
        <v/>
      </c>
      <c r="AE17" s="52" t="str">
        <f>IF(AND('Mapa final'!$Z$16="Alta",'Mapa final'!$AB$16="Mayor"),CONCATENATE("R2C",'Mapa final'!$P$16),"")</f>
        <v/>
      </c>
      <c r="AF17" s="52" t="e">
        <f>IF(AND('Mapa final'!#REF!="Alta",'Mapa final'!#REF!="Mayor"),CONCATENATE("R2C",'Mapa final'!#REF!),"")</f>
        <v>#REF!</v>
      </c>
      <c r="AG17" s="53" t="e">
        <f>IF(AND('Mapa final'!#REF!="Alta",'Mapa final'!#REF!="Mayor"),CONCATENATE("R2C",'Mapa final'!#REF!),"")</f>
        <v>#REF!</v>
      </c>
      <c r="AH17" s="54" t="str">
        <f>IF(AND('Mapa final'!$Z$13="Alta",'Mapa final'!$AB$13="Catastrófico"),CONCATENATE("R2C",'Mapa final'!$P$13),"")</f>
        <v/>
      </c>
      <c r="AI17" s="55" t="str">
        <f>IF(AND('Mapa final'!$Z$14="Alta",'Mapa final'!$AB$14="Catastrófico"),CONCATENATE("R2C",'Mapa final'!$P$14),"")</f>
        <v/>
      </c>
      <c r="AJ17" s="55" t="str">
        <f>IF(AND('Mapa final'!$Z$15="Alta",'Mapa final'!$AB$15="Catastrófico"),CONCATENATE("R2C",'Mapa final'!$P$15),"")</f>
        <v/>
      </c>
      <c r="AK17" s="55" t="str">
        <f>IF(AND('Mapa final'!$Z$16="Alta",'Mapa final'!$AB$16="Catastrófico"),CONCATENATE("R2C",'Mapa final'!$P$16),"")</f>
        <v/>
      </c>
      <c r="AL17" s="55" t="e">
        <f>IF(AND('Mapa final'!#REF!="Alta",'Mapa final'!#REF!="Catastrófico"),CONCATENATE("R2C",'Mapa final'!#REF!),"")</f>
        <v>#REF!</v>
      </c>
      <c r="AM17" s="56" t="e">
        <f>IF(AND('Mapa final'!#REF!="Alta",'Mapa final'!#REF!="Catastrófico"),CONCATENATE("R2C",'Mapa final'!#REF!),"")</f>
        <v>#REF!</v>
      </c>
      <c r="AN17" s="82"/>
      <c r="AO17" s="404"/>
      <c r="AP17" s="405"/>
      <c r="AQ17" s="405"/>
      <c r="AR17" s="405"/>
      <c r="AS17" s="405"/>
      <c r="AT17" s="406"/>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315"/>
      <c r="C18" s="315"/>
      <c r="D18" s="316"/>
      <c r="E18" s="414"/>
      <c r="F18" s="413"/>
      <c r="G18" s="413"/>
      <c r="H18" s="413"/>
      <c r="I18" s="413"/>
      <c r="J18" s="66" t="str">
        <f>IF(AND('Mapa final'!$Z$17="Alta",'Mapa final'!$AB$17="Leve"),CONCATENATE("R3C",'Mapa final'!$P$17),"")</f>
        <v/>
      </c>
      <c r="K18" s="67" t="str">
        <f>IF(AND('Mapa final'!$Z$18="Alta",'Mapa final'!$AB$18="Leve"),CONCATENATE("R3C",'Mapa final'!$P$18),"")</f>
        <v/>
      </c>
      <c r="L18" s="67" t="str">
        <f>IF(AND('Mapa final'!$Z$19="Alta",'Mapa final'!$AB$19="Leve"),CONCATENATE("R3C",'Mapa final'!$P$19),"")</f>
        <v/>
      </c>
      <c r="M18" s="67" t="e">
        <f>IF(AND('Mapa final'!#REF!="Alta",'Mapa final'!#REF!="Leve"),CONCATENATE("R3C",'Mapa final'!#REF!),"")</f>
        <v>#REF!</v>
      </c>
      <c r="N18" s="67" t="e">
        <f>IF(AND('Mapa final'!#REF!="Alta",'Mapa final'!#REF!="Leve"),CONCATENATE("R3C",'Mapa final'!#REF!),"")</f>
        <v>#REF!</v>
      </c>
      <c r="O18" s="68" t="e">
        <f>IF(AND('Mapa final'!#REF!="Alta",'Mapa final'!#REF!="Leve"),CONCATENATE("R3C",'Mapa final'!#REF!),"")</f>
        <v>#REF!</v>
      </c>
      <c r="P18" s="66" t="str">
        <f>IF(AND('Mapa final'!$Z$17="Alta",'Mapa final'!$AB$17="Menor"),CONCATENATE("R3C",'Mapa final'!$P$17),"")</f>
        <v/>
      </c>
      <c r="Q18" s="67" t="str">
        <f>IF(AND('Mapa final'!$Z$18="Alta",'Mapa final'!$AB$18="Menor"),CONCATENATE("R3C",'Mapa final'!$P$18),"")</f>
        <v/>
      </c>
      <c r="R18" s="67" t="str">
        <f>IF(AND('Mapa final'!$Z$19="Alta",'Mapa final'!$AB$19="Menor"),CONCATENATE("R3C",'Mapa final'!$P$19),"")</f>
        <v/>
      </c>
      <c r="S18" s="67" t="e">
        <f>IF(AND('Mapa final'!#REF!="Alta",'Mapa final'!#REF!="Menor"),CONCATENATE("R3C",'Mapa final'!#REF!),"")</f>
        <v>#REF!</v>
      </c>
      <c r="T18" s="67" t="e">
        <f>IF(AND('Mapa final'!#REF!="Alta",'Mapa final'!#REF!="Menor"),CONCATENATE("R3C",'Mapa final'!#REF!),"")</f>
        <v>#REF!</v>
      </c>
      <c r="U18" s="68" t="e">
        <f>IF(AND('Mapa final'!#REF!="Alta",'Mapa final'!#REF!="Menor"),CONCATENATE("R3C",'Mapa final'!#REF!),"")</f>
        <v>#REF!</v>
      </c>
      <c r="V18" s="51" t="str">
        <f>IF(AND('Mapa final'!$Z$17="Alta",'Mapa final'!$AB$17="Moderado"),CONCATENATE("R3C",'Mapa final'!$P$17),"")</f>
        <v/>
      </c>
      <c r="W18" s="52" t="str">
        <f>IF(AND('Mapa final'!$Z$18="Alta",'Mapa final'!$AB$18="Moderado"),CONCATENATE("R3C",'Mapa final'!$P$18),"")</f>
        <v/>
      </c>
      <c r="X18" s="52" t="str">
        <f>IF(AND('Mapa final'!$Z$19="Alta",'Mapa final'!$AB$19="Moderado"),CONCATENATE("R3C",'Mapa final'!$P$19),"")</f>
        <v/>
      </c>
      <c r="Y18" s="52" t="e">
        <f>IF(AND('Mapa final'!#REF!="Alta",'Mapa final'!#REF!="Moderado"),CONCATENATE("R3C",'Mapa final'!#REF!),"")</f>
        <v>#REF!</v>
      </c>
      <c r="Z18" s="52" t="e">
        <f>IF(AND('Mapa final'!#REF!="Alta",'Mapa final'!#REF!="Moderado"),CONCATENATE("R3C",'Mapa final'!#REF!),"")</f>
        <v>#REF!</v>
      </c>
      <c r="AA18" s="53" t="e">
        <f>IF(AND('Mapa final'!#REF!="Alta",'Mapa final'!#REF!="Moderado"),CONCATENATE("R3C",'Mapa final'!#REF!),"")</f>
        <v>#REF!</v>
      </c>
      <c r="AB18" s="51" t="str">
        <f>IF(AND('Mapa final'!$Z$17="Alta",'Mapa final'!$AB$17="Mayor"),CONCATENATE("R3C",'Mapa final'!$P$17),"")</f>
        <v/>
      </c>
      <c r="AC18" s="52" t="str">
        <f>IF(AND('Mapa final'!$Z$18="Alta",'Mapa final'!$AB$18="Mayor"),CONCATENATE("R3C",'Mapa final'!$P$18),"")</f>
        <v/>
      </c>
      <c r="AD18" s="52" t="str">
        <f>IF(AND('Mapa final'!$Z$19="Alta",'Mapa final'!$AB$19="Mayor"),CONCATENATE("R3C",'Mapa final'!$P$19),"")</f>
        <v/>
      </c>
      <c r="AE18" s="52" t="e">
        <f>IF(AND('Mapa final'!#REF!="Alta",'Mapa final'!#REF!="Mayor"),CONCATENATE("R3C",'Mapa final'!#REF!),"")</f>
        <v>#REF!</v>
      </c>
      <c r="AF18" s="52" t="e">
        <f>IF(AND('Mapa final'!#REF!="Alta",'Mapa final'!#REF!="Mayor"),CONCATENATE("R3C",'Mapa final'!#REF!),"")</f>
        <v>#REF!</v>
      </c>
      <c r="AG18" s="53" t="e">
        <f>IF(AND('Mapa final'!#REF!="Alta",'Mapa final'!#REF!="Mayor"),CONCATENATE("R3C",'Mapa final'!#REF!),"")</f>
        <v>#REF!</v>
      </c>
      <c r="AH18" s="54" t="str">
        <f>IF(AND('Mapa final'!$Z$17="Alta",'Mapa final'!$AB$17="Catastrófico"),CONCATENATE("R3C",'Mapa final'!$P$17),"")</f>
        <v/>
      </c>
      <c r="AI18" s="55" t="str">
        <f>IF(AND('Mapa final'!$Z$18="Alta",'Mapa final'!$AB$18="Catastrófico"),CONCATENATE("R3C",'Mapa final'!$P$18),"")</f>
        <v/>
      </c>
      <c r="AJ18" s="55" t="str">
        <f>IF(AND('Mapa final'!$Z$19="Alta",'Mapa final'!$AB$19="Catastrófico"),CONCATENATE("R3C",'Mapa final'!$P$19),"")</f>
        <v/>
      </c>
      <c r="AK18" s="55" t="e">
        <f>IF(AND('Mapa final'!#REF!="Alta",'Mapa final'!#REF!="Catastrófico"),CONCATENATE("R3C",'Mapa final'!#REF!),"")</f>
        <v>#REF!</v>
      </c>
      <c r="AL18" s="55" t="e">
        <f>IF(AND('Mapa final'!#REF!="Alta",'Mapa final'!#REF!="Catastrófico"),CONCATENATE("R3C",'Mapa final'!#REF!),"")</f>
        <v>#REF!</v>
      </c>
      <c r="AM18" s="56" t="e">
        <f>IF(AND('Mapa final'!#REF!="Alta",'Mapa final'!#REF!="Catastrófico"),CONCATENATE("R3C",'Mapa final'!#REF!),"")</f>
        <v>#REF!</v>
      </c>
      <c r="AN18" s="82"/>
      <c r="AO18" s="404"/>
      <c r="AP18" s="405"/>
      <c r="AQ18" s="405"/>
      <c r="AR18" s="405"/>
      <c r="AS18" s="405"/>
      <c r="AT18" s="406"/>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315"/>
      <c r="C19" s="315"/>
      <c r="D19" s="316"/>
      <c r="E19" s="414"/>
      <c r="F19" s="413"/>
      <c r="G19" s="413"/>
      <c r="H19" s="413"/>
      <c r="I19" s="413"/>
      <c r="J19" s="66" t="str">
        <f>IF(AND('Mapa final'!$Z$20="Alta",'Mapa final'!$AB$20="Leve"),CONCATENATE("R4C",'Mapa final'!$P$20),"")</f>
        <v/>
      </c>
      <c r="K19" s="67" t="e">
        <f>IF(AND('Mapa final'!#REF!="Alta",'Mapa final'!#REF!="Leve"),CONCATENATE("R4C",'Mapa final'!#REF!),"")</f>
        <v>#REF!</v>
      </c>
      <c r="L19" s="67" t="e">
        <f>IF(AND('Mapa final'!#REF!="Alta",'Mapa final'!#REF!="Leve"),CONCATENATE("R4C",'Mapa final'!#REF!),"")</f>
        <v>#REF!</v>
      </c>
      <c r="M19" s="67" t="e">
        <f>IF(AND('Mapa final'!#REF!="Alta",'Mapa final'!#REF!="Leve"),CONCATENATE("R4C",'Mapa final'!#REF!),"")</f>
        <v>#REF!</v>
      </c>
      <c r="N19" s="67" t="e">
        <f>IF(AND('Mapa final'!#REF!="Alta",'Mapa final'!#REF!="Leve"),CONCATENATE("R4C",'Mapa final'!#REF!),"")</f>
        <v>#REF!</v>
      </c>
      <c r="O19" s="68" t="e">
        <f>IF(AND('Mapa final'!#REF!="Alta",'Mapa final'!#REF!="Leve"),CONCATENATE("R4C",'Mapa final'!#REF!),"")</f>
        <v>#REF!</v>
      </c>
      <c r="P19" s="66" t="str">
        <f>IF(AND('Mapa final'!$Z$20="Alta",'Mapa final'!$AB$20="Menor"),CONCATENATE("R4C",'Mapa final'!$P$20),"")</f>
        <v/>
      </c>
      <c r="Q19" s="67" t="e">
        <f>IF(AND('Mapa final'!#REF!="Alta",'Mapa final'!#REF!="Menor"),CONCATENATE("R4C",'Mapa final'!#REF!),"")</f>
        <v>#REF!</v>
      </c>
      <c r="R19" s="67" t="e">
        <f>IF(AND('Mapa final'!#REF!="Alta",'Mapa final'!#REF!="Menor"),CONCATENATE("R4C",'Mapa final'!#REF!),"")</f>
        <v>#REF!</v>
      </c>
      <c r="S19" s="67" t="e">
        <f>IF(AND('Mapa final'!#REF!="Alta",'Mapa final'!#REF!="Menor"),CONCATENATE("R4C",'Mapa final'!#REF!),"")</f>
        <v>#REF!</v>
      </c>
      <c r="T19" s="67" t="e">
        <f>IF(AND('Mapa final'!#REF!="Alta",'Mapa final'!#REF!="Menor"),CONCATENATE("R4C",'Mapa final'!#REF!),"")</f>
        <v>#REF!</v>
      </c>
      <c r="U19" s="68" t="e">
        <f>IF(AND('Mapa final'!#REF!="Alta",'Mapa final'!#REF!="Menor"),CONCATENATE("R4C",'Mapa final'!#REF!),"")</f>
        <v>#REF!</v>
      </c>
      <c r="V19" s="51" t="str">
        <f>IF(AND('Mapa final'!$Z$20="Alta",'Mapa final'!$AB$20="Moderado"),CONCATENATE("R4C",'Mapa final'!$P$20),"")</f>
        <v/>
      </c>
      <c r="W19" s="52" t="e">
        <f>IF(AND('Mapa final'!#REF!="Alta",'Mapa final'!#REF!="Moderado"),CONCATENATE("R4C",'Mapa final'!#REF!),"")</f>
        <v>#REF!</v>
      </c>
      <c r="X19" s="52" t="e">
        <f>IF(AND('Mapa final'!#REF!="Alta",'Mapa final'!#REF!="Moderado"),CONCATENATE("R4C",'Mapa final'!#REF!),"")</f>
        <v>#REF!</v>
      </c>
      <c r="Y19" s="52" t="e">
        <f>IF(AND('Mapa final'!#REF!="Alta",'Mapa final'!#REF!="Moderado"),CONCATENATE("R4C",'Mapa final'!#REF!),"")</f>
        <v>#REF!</v>
      </c>
      <c r="Z19" s="52" t="e">
        <f>IF(AND('Mapa final'!#REF!="Alta",'Mapa final'!#REF!="Moderado"),CONCATENATE("R4C",'Mapa final'!#REF!),"")</f>
        <v>#REF!</v>
      </c>
      <c r="AA19" s="53" t="e">
        <f>IF(AND('Mapa final'!#REF!="Alta",'Mapa final'!#REF!="Moderado"),CONCATENATE("R4C",'Mapa final'!#REF!),"")</f>
        <v>#REF!</v>
      </c>
      <c r="AB19" s="51" t="str">
        <f>IF(AND('Mapa final'!$Z$20="Alta",'Mapa final'!$AB$20="Mayor"),CONCATENATE("R4C",'Mapa final'!$P$20),"")</f>
        <v/>
      </c>
      <c r="AC19" s="52" t="e">
        <f>IF(AND('Mapa final'!#REF!="Alta",'Mapa final'!#REF!="Mayor"),CONCATENATE("R4C",'Mapa final'!#REF!),"")</f>
        <v>#REF!</v>
      </c>
      <c r="AD19" s="52" t="e">
        <f>IF(AND('Mapa final'!#REF!="Alta",'Mapa final'!#REF!="Mayor"),CONCATENATE("R4C",'Mapa final'!#REF!),"")</f>
        <v>#REF!</v>
      </c>
      <c r="AE19" s="52" t="e">
        <f>IF(AND('Mapa final'!#REF!="Alta",'Mapa final'!#REF!="Mayor"),CONCATENATE("R4C",'Mapa final'!#REF!),"")</f>
        <v>#REF!</v>
      </c>
      <c r="AF19" s="52" t="e">
        <f>IF(AND('Mapa final'!#REF!="Alta",'Mapa final'!#REF!="Mayor"),CONCATENATE("R4C",'Mapa final'!#REF!),"")</f>
        <v>#REF!</v>
      </c>
      <c r="AG19" s="53" t="e">
        <f>IF(AND('Mapa final'!#REF!="Alta",'Mapa final'!#REF!="Mayor"),CONCATENATE("R4C",'Mapa final'!#REF!),"")</f>
        <v>#REF!</v>
      </c>
      <c r="AH19" s="54" t="str">
        <f>IF(AND('Mapa final'!$Z$20="Alta",'Mapa final'!$AB$20="Catastrófico"),CONCATENATE("R4C",'Mapa final'!$P$20),"")</f>
        <v/>
      </c>
      <c r="AI19" s="55" t="e">
        <f>IF(AND('Mapa final'!#REF!="Alta",'Mapa final'!#REF!="Catastrófico"),CONCATENATE("R4C",'Mapa final'!#REF!),"")</f>
        <v>#REF!</v>
      </c>
      <c r="AJ19" s="55" t="e">
        <f>IF(AND('Mapa final'!#REF!="Alta",'Mapa final'!#REF!="Catastrófico"),CONCATENATE("R4C",'Mapa final'!#REF!),"")</f>
        <v>#REF!</v>
      </c>
      <c r="AK19" s="55" t="e">
        <f>IF(AND('Mapa final'!#REF!="Alta",'Mapa final'!#REF!="Catastrófico"),CONCATENATE("R4C",'Mapa final'!#REF!),"")</f>
        <v>#REF!</v>
      </c>
      <c r="AL19" s="55" t="e">
        <f>IF(AND('Mapa final'!#REF!="Alta",'Mapa final'!#REF!="Catastrófico"),CONCATENATE("R4C",'Mapa final'!#REF!),"")</f>
        <v>#REF!</v>
      </c>
      <c r="AM19" s="56" t="e">
        <f>IF(AND('Mapa final'!#REF!="Alta",'Mapa final'!#REF!="Catastrófico"),CONCATENATE("R4C",'Mapa final'!#REF!),"")</f>
        <v>#REF!</v>
      </c>
      <c r="AN19" s="82"/>
      <c r="AO19" s="404"/>
      <c r="AP19" s="405"/>
      <c r="AQ19" s="405"/>
      <c r="AR19" s="405"/>
      <c r="AS19" s="405"/>
      <c r="AT19" s="406"/>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315"/>
      <c r="C20" s="315"/>
      <c r="D20" s="316"/>
      <c r="E20" s="414"/>
      <c r="F20" s="413"/>
      <c r="G20" s="413"/>
      <c r="H20" s="413"/>
      <c r="I20" s="413"/>
      <c r="J20" s="66" t="str">
        <f>IF(AND('Mapa final'!$Z$21="Alta",'Mapa final'!$AB$21="Leve"),CONCATENATE("R5C",'Mapa final'!$P$21),"")</f>
        <v/>
      </c>
      <c r="K20" s="67" t="str">
        <f>IF(AND('Mapa final'!$Z$22="Alta",'Mapa final'!$AB$22="Leve"),CONCATENATE("R5C",'Mapa final'!$P$22),"")</f>
        <v/>
      </c>
      <c r="L20" s="67" t="str">
        <f>IF(AND('Mapa final'!$Z$23="Alta",'Mapa final'!$AB$23="Leve"),CONCATENATE("R5C",'Mapa final'!$P$23),"")</f>
        <v/>
      </c>
      <c r="M20" s="67" t="str">
        <f>IF(AND('Mapa final'!$Z$24="Alta",'Mapa final'!$AB$24="Leve"),CONCATENATE("R5C",'Mapa final'!$P$24),"")</f>
        <v/>
      </c>
      <c r="N20" s="67" t="str">
        <f>IF(AND('Mapa final'!$Z$25="Alta",'Mapa final'!$AB$25="Leve"),CONCATENATE("R5C",'Mapa final'!$P$25),"")</f>
        <v/>
      </c>
      <c r="O20" s="68" t="e">
        <f>IF(AND('Mapa final'!#REF!="Alta",'Mapa final'!#REF!="Leve"),CONCATENATE("R5C",'Mapa final'!#REF!),"")</f>
        <v>#REF!</v>
      </c>
      <c r="P20" s="66" t="str">
        <f>IF(AND('Mapa final'!$Z$21="Alta",'Mapa final'!$AB$21="Menor"),CONCATENATE("R5C",'Mapa final'!$P$21),"")</f>
        <v/>
      </c>
      <c r="Q20" s="67" t="str">
        <f>IF(AND('Mapa final'!$Z$22="Alta",'Mapa final'!$AB$22="Menor"),CONCATENATE("R5C",'Mapa final'!$P$22),"")</f>
        <v/>
      </c>
      <c r="R20" s="67" t="str">
        <f>IF(AND('Mapa final'!$Z$23="Alta",'Mapa final'!$AB$23="Menor"),CONCATENATE("R5C",'Mapa final'!$P$23),"")</f>
        <v/>
      </c>
      <c r="S20" s="67" t="str">
        <f>IF(AND('Mapa final'!$Z$24="Alta",'Mapa final'!$AB$24="Menor"),CONCATENATE("R5C",'Mapa final'!$P$24),"")</f>
        <v/>
      </c>
      <c r="T20" s="67" t="str">
        <f>IF(AND('Mapa final'!$Z$25="Alta",'Mapa final'!$AB$25="Menor"),CONCATENATE("R5C",'Mapa final'!$P$25),"")</f>
        <v/>
      </c>
      <c r="U20" s="68" t="e">
        <f>IF(AND('Mapa final'!#REF!="Alta",'Mapa final'!#REF!="Menor"),CONCATENATE("R5C",'Mapa final'!#REF!),"")</f>
        <v>#REF!</v>
      </c>
      <c r="V20" s="51" t="str">
        <f>IF(AND('Mapa final'!$Z$21="Alta",'Mapa final'!$AB$21="Moderado"),CONCATENATE("R5C",'Mapa final'!$P$21),"")</f>
        <v/>
      </c>
      <c r="W20" s="52" t="str">
        <f>IF(AND('Mapa final'!$Z$22="Alta",'Mapa final'!$AB$22="Moderado"),CONCATENATE("R5C",'Mapa final'!$P$22),"")</f>
        <v/>
      </c>
      <c r="X20" s="52" t="str">
        <f>IF(AND('Mapa final'!$Z$23="Alta",'Mapa final'!$AB$23="Moderado"),CONCATENATE("R5C",'Mapa final'!$P$23),"")</f>
        <v/>
      </c>
      <c r="Y20" s="52" t="str">
        <f>IF(AND('Mapa final'!$Z$24="Alta",'Mapa final'!$AB$24="Moderado"),CONCATENATE("R5C",'Mapa final'!$P$24),"")</f>
        <v/>
      </c>
      <c r="Z20" s="52" t="str">
        <f>IF(AND('Mapa final'!$Z$25="Alta",'Mapa final'!$AB$25="Moderado"),CONCATENATE("R5C",'Mapa final'!$P$25),"")</f>
        <v/>
      </c>
      <c r="AA20" s="53" t="e">
        <f>IF(AND('Mapa final'!#REF!="Alta",'Mapa final'!#REF!="Moderado"),CONCATENATE("R5C",'Mapa final'!#REF!),"")</f>
        <v>#REF!</v>
      </c>
      <c r="AB20" s="51" t="str">
        <f>IF(AND('Mapa final'!$Z$21="Alta",'Mapa final'!$AB$21="Mayor"),CONCATENATE("R5C",'Mapa final'!$P$21),"")</f>
        <v/>
      </c>
      <c r="AC20" s="52" t="str">
        <f>IF(AND('Mapa final'!$Z$22="Alta",'Mapa final'!$AB$22="Mayor"),CONCATENATE("R5C",'Mapa final'!$P$22),"")</f>
        <v/>
      </c>
      <c r="AD20" s="52" t="str">
        <f>IF(AND('Mapa final'!$Z$23="Alta",'Mapa final'!$AB$23="Mayor"),CONCATENATE("R5C",'Mapa final'!$P$23),"")</f>
        <v/>
      </c>
      <c r="AE20" s="52" t="str">
        <f>IF(AND('Mapa final'!$Z$24="Alta",'Mapa final'!$AB$24="Mayor"),CONCATENATE("R5C",'Mapa final'!$P$24),"")</f>
        <v/>
      </c>
      <c r="AF20" s="52" t="str">
        <f>IF(AND('Mapa final'!$Z$25="Alta",'Mapa final'!$AB$25="Mayor"),CONCATENATE("R5C",'Mapa final'!$P$25),"")</f>
        <v/>
      </c>
      <c r="AG20" s="53" t="e">
        <f>IF(AND('Mapa final'!#REF!="Alta",'Mapa final'!#REF!="Mayor"),CONCATENATE("R5C",'Mapa final'!#REF!),"")</f>
        <v>#REF!</v>
      </c>
      <c r="AH20" s="54" t="str">
        <f>IF(AND('Mapa final'!$Z$21="Alta",'Mapa final'!$AB$21="Catastrófico"),CONCATENATE("R5C",'Mapa final'!$P$21),"")</f>
        <v/>
      </c>
      <c r="AI20" s="55" t="str">
        <f>IF(AND('Mapa final'!$Z$22="Alta",'Mapa final'!$AB$22="Catastrófico"),CONCATENATE("R5C",'Mapa final'!$P$22),"")</f>
        <v/>
      </c>
      <c r="AJ20" s="55" t="str">
        <f>IF(AND('Mapa final'!$Z$23="Alta",'Mapa final'!$AB$23="Catastrófico"),CONCATENATE("R5C",'Mapa final'!$P$23),"")</f>
        <v/>
      </c>
      <c r="AK20" s="55" t="str">
        <f>IF(AND('Mapa final'!$Z$24="Alta",'Mapa final'!$AB$24="Catastrófico"),CONCATENATE("R5C",'Mapa final'!$P$24),"")</f>
        <v/>
      </c>
      <c r="AL20" s="55" t="str">
        <f>IF(AND('Mapa final'!$Z$25="Alta",'Mapa final'!$AB$25="Catastrófico"),CONCATENATE("R5C",'Mapa final'!$P$25),"")</f>
        <v/>
      </c>
      <c r="AM20" s="56" t="e">
        <f>IF(AND('Mapa final'!#REF!="Alta",'Mapa final'!#REF!="Catastrófico"),CONCATENATE("R5C",'Mapa final'!#REF!),"")</f>
        <v>#REF!</v>
      </c>
      <c r="AN20" s="82"/>
      <c r="AO20" s="404"/>
      <c r="AP20" s="405"/>
      <c r="AQ20" s="405"/>
      <c r="AR20" s="405"/>
      <c r="AS20" s="405"/>
      <c r="AT20" s="406"/>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315"/>
      <c r="C21" s="315"/>
      <c r="D21" s="316"/>
      <c r="E21" s="414"/>
      <c r="F21" s="413"/>
      <c r="G21" s="413"/>
      <c r="H21" s="413"/>
      <c r="I21" s="413"/>
      <c r="J21" s="66" t="str">
        <f>IF(AND('Mapa final'!$Z$35="Alta",'Mapa final'!$AB$35="Leve"),CONCATENATE("R6C",'Mapa final'!$P$35),"")</f>
        <v/>
      </c>
      <c r="K21" s="67" t="e">
        <f>IF(AND('Mapa final'!#REF!="Alta",'Mapa final'!#REF!="Leve"),CONCATENATE("R6C",'Mapa final'!#REF!),"")</f>
        <v>#REF!</v>
      </c>
      <c r="L21" s="67" t="e">
        <f>IF(AND('Mapa final'!#REF!="Alta",'Mapa final'!#REF!="Leve"),CONCATENATE("R6C",'Mapa final'!#REF!),"")</f>
        <v>#REF!</v>
      </c>
      <c r="M21" s="67" t="e">
        <f>IF(AND('Mapa final'!#REF!="Alta",'Mapa final'!#REF!="Leve"),CONCATENATE("R6C",'Mapa final'!#REF!),"")</f>
        <v>#REF!</v>
      </c>
      <c r="N21" s="67" t="e">
        <f>IF(AND('Mapa final'!#REF!="Alta",'Mapa final'!#REF!="Leve"),CONCATENATE("R6C",'Mapa final'!#REF!),"")</f>
        <v>#REF!</v>
      </c>
      <c r="O21" s="68" t="e">
        <f>IF(AND('Mapa final'!#REF!="Alta",'Mapa final'!#REF!="Leve"),CONCATENATE("R6C",'Mapa final'!#REF!),"")</f>
        <v>#REF!</v>
      </c>
      <c r="P21" s="66" t="str">
        <f>IF(AND('Mapa final'!$Z$35="Alta",'Mapa final'!$AB$35="Menor"),CONCATENATE("R6C",'Mapa final'!$P$35),"")</f>
        <v/>
      </c>
      <c r="Q21" s="67" t="e">
        <f>IF(AND('Mapa final'!#REF!="Alta",'Mapa final'!#REF!="Menor"),CONCATENATE("R6C",'Mapa final'!#REF!),"")</f>
        <v>#REF!</v>
      </c>
      <c r="R21" s="67" t="e">
        <f>IF(AND('Mapa final'!#REF!="Alta",'Mapa final'!#REF!="Menor"),CONCATENATE("R6C",'Mapa final'!#REF!),"")</f>
        <v>#REF!</v>
      </c>
      <c r="S21" s="67" t="e">
        <f>IF(AND('Mapa final'!#REF!="Alta",'Mapa final'!#REF!="Menor"),CONCATENATE("R6C",'Mapa final'!#REF!),"")</f>
        <v>#REF!</v>
      </c>
      <c r="T21" s="67" t="e">
        <f>IF(AND('Mapa final'!#REF!="Alta",'Mapa final'!#REF!="Menor"),CONCATENATE("R6C",'Mapa final'!#REF!),"")</f>
        <v>#REF!</v>
      </c>
      <c r="U21" s="68" t="e">
        <f>IF(AND('Mapa final'!#REF!="Alta",'Mapa final'!#REF!="Menor"),CONCATENATE("R6C",'Mapa final'!#REF!),"")</f>
        <v>#REF!</v>
      </c>
      <c r="V21" s="51" t="str">
        <f>IF(AND('Mapa final'!$Z$35="Alta",'Mapa final'!$AB$35="Moderado"),CONCATENATE("R6C",'Mapa final'!$P$35),"")</f>
        <v>R6C1</v>
      </c>
      <c r="W21" s="52" t="e">
        <f>IF(AND('Mapa final'!#REF!="Alta",'Mapa final'!#REF!="Moderado"),CONCATENATE("R6C",'Mapa final'!#REF!),"")</f>
        <v>#REF!</v>
      </c>
      <c r="X21" s="52" t="e">
        <f>IF(AND('Mapa final'!#REF!="Alta",'Mapa final'!#REF!="Moderado"),CONCATENATE("R6C",'Mapa final'!#REF!),"")</f>
        <v>#REF!</v>
      </c>
      <c r="Y21" s="52" t="e">
        <f>IF(AND('Mapa final'!#REF!="Alta",'Mapa final'!#REF!="Moderado"),CONCATENATE("R6C",'Mapa final'!#REF!),"")</f>
        <v>#REF!</v>
      </c>
      <c r="Z21" s="52" t="e">
        <f>IF(AND('Mapa final'!#REF!="Alta",'Mapa final'!#REF!="Moderado"),CONCATENATE("R6C",'Mapa final'!#REF!),"")</f>
        <v>#REF!</v>
      </c>
      <c r="AA21" s="53" t="e">
        <f>IF(AND('Mapa final'!#REF!="Alta",'Mapa final'!#REF!="Moderado"),CONCATENATE("R6C",'Mapa final'!#REF!),"")</f>
        <v>#REF!</v>
      </c>
      <c r="AB21" s="51" t="str">
        <f>IF(AND('Mapa final'!$Z$35="Alta",'Mapa final'!$AB$35="Mayor"),CONCATENATE("R6C",'Mapa final'!$P$35),"")</f>
        <v/>
      </c>
      <c r="AC21" s="52" t="e">
        <f>IF(AND('Mapa final'!#REF!="Alta",'Mapa final'!#REF!="Mayor"),CONCATENATE("R6C",'Mapa final'!#REF!),"")</f>
        <v>#REF!</v>
      </c>
      <c r="AD21" s="52" t="e">
        <f>IF(AND('Mapa final'!#REF!="Alta",'Mapa final'!#REF!="Mayor"),CONCATENATE("R6C",'Mapa final'!#REF!),"")</f>
        <v>#REF!</v>
      </c>
      <c r="AE21" s="52" t="e">
        <f>IF(AND('Mapa final'!#REF!="Alta",'Mapa final'!#REF!="Mayor"),CONCATENATE("R6C",'Mapa final'!#REF!),"")</f>
        <v>#REF!</v>
      </c>
      <c r="AF21" s="52" t="e">
        <f>IF(AND('Mapa final'!#REF!="Alta",'Mapa final'!#REF!="Mayor"),CONCATENATE("R6C",'Mapa final'!#REF!),"")</f>
        <v>#REF!</v>
      </c>
      <c r="AG21" s="53" t="e">
        <f>IF(AND('Mapa final'!#REF!="Alta",'Mapa final'!#REF!="Mayor"),CONCATENATE("R6C",'Mapa final'!#REF!),"")</f>
        <v>#REF!</v>
      </c>
      <c r="AH21" s="54" t="str">
        <f>IF(AND('Mapa final'!$Z$35="Alta",'Mapa final'!$AB$35="Catastrófico"),CONCATENATE("R6C",'Mapa final'!$P$35),"")</f>
        <v/>
      </c>
      <c r="AI21" s="55" t="e">
        <f>IF(AND('Mapa final'!#REF!="Alta",'Mapa final'!#REF!="Catastrófico"),CONCATENATE("R6C",'Mapa final'!#REF!),"")</f>
        <v>#REF!</v>
      </c>
      <c r="AJ21" s="55" t="e">
        <f>IF(AND('Mapa final'!#REF!="Alta",'Mapa final'!#REF!="Catastrófico"),CONCATENATE("R6C",'Mapa final'!#REF!),"")</f>
        <v>#REF!</v>
      </c>
      <c r="AK21" s="55" t="e">
        <f>IF(AND('Mapa final'!#REF!="Alta",'Mapa final'!#REF!="Catastrófico"),CONCATENATE("R6C",'Mapa final'!#REF!),"")</f>
        <v>#REF!</v>
      </c>
      <c r="AL21" s="55" t="e">
        <f>IF(AND('Mapa final'!#REF!="Alta",'Mapa final'!#REF!="Catastrófico"),CONCATENATE("R6C",'Mapa final'!#REF!),"")</f>
        <v>#REF!</v>
      </c>
      <c r="AM21" s="56" t="e">
        <f>IF(AND('Mapa final'!#REF!="Alta",'Mapa final'!#REF!="Catastrófico"),CONCATENATE("R6C",'Mapa final'!#REF!),"")</f>
        <v>#REF!</v>
      </c>
      <c r="AN21" s="82"/>
      <c r="AO21" s="404"/>
      <c r="AP21" s="405"/>
      <c r="AQ21" s="405"/>
      <c r="AR21" s="405"/>
      <c r="AS21" s="405"/>
      <c r="AT21" s="406"/>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315"/>
      <c r="C22" s="315"/>
      <c r="D22" s="316"/>
      <c r="E22" s="414"/>
      <c r="F22" s="413"/>
      <c r="G22" s="413"/>
      <c r="H22" s="413"/>
      <c r="I22" s="413"/>
      <c r="J22" s="66" t="str">
        <f>IF(AND('Mapa final'!$Z$36="Alta",'Mapa final'!$AB$36="Leve"),CONCATENATE("R7C",'Mapa final'!$P$36),"")</f>
        <v/>
      </c>
      <c r="K22" s="67" t="e">
        <f>IF(AND('Mapa final'!#REF!="Alta",'Mapa final'!#REF!="Leve"),CONCATENATE("R7C",'Mapa final'!#REF!),"")</f>
        <v>#REF!</v>
      </c>
      <c r="L22" s="67" t="e">
        <f>IF(AND('Mapa final'!#REF!="Alta",'Mapa final'!#REF!="Leve"),CONCATENATE("R7C",'Mapa final'!#REF!),"")</f>
        <v>#REF!</v>
      </c>
      <c r="M22" s="67" t="e">
        <f>IF(AND('Mapa final'!#REF!="Alta",'Mapa final'!#REF!="Leve"),CONCATENATE("R7C",'Mapa final'!#REF!),"")</f>
        <v>#REF!</v>
      </c>
      <c r="N22" s="67" t="e">
        <f>IF(AND('Mapa final'!#REF!="Alta",'Mapa final'!#REF!="Leve"),CONCATENATE("R7C",'Mapa final'!#REF!),"")</f>
        <v>#REF!</v>
      </c>
      <c r="O22" s="68" t="e">
        <f>IF(AND('Mapa final'!#REF!="Alta",'Mapa final'!#REF!="Leve"),CONCATENATE("R7C",'Mapa final'!#REF!),"")</f>
        <v>#REF!</v>
      </c>
      <c r="P22" s="66" t="str">
        <f>IF(AND('Mapa final'!$Z$36="Alta",'Mapa final'!$AB$36="Menor"),CONCATENATE("R7C",'Mapa final'!$P$36),"")</f>
        <v/>
      </c>
      <c r="Q22" s="67" t="e">
        <f>IF(AND('Mapa final'!#REF!="Alta",'Mapa final'!#REF!="Menor"),CONCATENATE("R7C",'Mapa final'!#REF!),"")</f>
        <v>#REF!</v>
      </c>
      <c r="R22" s="67" t="e">
        <f>IF(AND('Mapa final'!#REF!="Alta",'Mapa final'!#REF!="Menor"),CONCATENATE("R7C",'Mapa final'!#REF!),"")</f>
        <v>#REF!</v>
      </c>
      <c r="S22" s="67" t="e">
        <f>IF(AND('Mapa final'!#REF!="Alta",'Mapa final'!#REF!="Menor"),CONCATENATE("R7C",'Mapa final'!#REF!),"")</f>
        <v>#REF!</v>
      </c>
      <c r="T22" s="67" t="e">
        <f>IF(AND('Mapa final'!#REF!="Alta",'Mapa final'!#REF!="Menor"),CONCATENATE("R7C",'Mapa final'!#REF!),"")</f>
        <v>#REF!</v>
      </c>
      <c r="U22" s="68" t="e">
        <f>IF(AND('Mapa final'!#REF!="Alta",'Mapa final'!#REF!="Menor"),CONCATENATE("R7C",'Mapa final'!#REF!),"")</f>
        <v>#REF!</v>
      </c>
      <c r="V22" s="51" t="str">
        <f>IF(AND('Mapa final'!$Z$36="Alta",'Mapa final'!$AB$36="Moderado"),CONCATENATE("R7C",'Mapa final'!$P$36),"")</f>
        <v/>
      </c>
      <c r="W22" s="52" t="e">
        <f>IF(AND('Mapa final'!#REF!="Alta",'Mapa final'!#REF!="Moderado"),CONCATENATE("R7C",'Mapa final'!#REF!),"")</f>
        <v>#REF!</v>
      </c>
      <c r="X22" s="52" t="e">
        <f>IF(AND('Mapa final'!#REF!="Alta",'Mapa final'!#REF!="Moderado"),CONCATENATE("R7C",'Mapa final'!#REF!),"")</f>
        <v>#REF!</v>
      </c>
      <c r="Y22" s="52" t="e">
        <f>IF(AND('Mapa final'!#REF!="Alta",'Mapa final'!#REF!="Moderado"),CONCATENATE("R7C",'Mapa final'!#REF!),"")</f>
        <v>#REF!</v>
      </c>
      <c r="Z22" s="52" t="e">
        <f>IF(AND('Mapa final'!#REF!="Alta",'Mapa final'!#REF!="Moderado"),CONCATENATE("R7C",'Mapa final'!#REF!),"")</f>
        <v>#REF!</v>
      </c>
      <c r="AA22" s="53" t="e">
        <f>IF(AND('Mapa final'!#REF!="Alta",'Mapa final'!#REF!="Moderado"),CONCATENATE("R7C",'Mapa final'!#REF!),"")</f>
        <v>#REF!</v>
      </c>
      <c r="AB22" s="51" t="str">
        <f>IF(AND('Mapa final'!$Z$36="Alta",'Mapa final'!$AB$36="Mayor"),CONCATENATE("R7C",'Mapa final'!$P$36),"")</f>
        <v/>
      </c>
      <c r="AC22" s="52" t="e">
        <f>IF(AND('Mapa final'!#REF!="Alta",'Mapa final'!#REF!="Mayor"),CONCATENATE("R7C",'Mapa final'!#REF!),"")</f>
        <v>#REF!</v>
      </c>
      <c r="AD22" s="52" t="e">
        <f>IF(AND('Mapa final'!#REF!="Alta",'Mapa final'!#REF!="Mayor"),CONCATENATE("R7C",'Mapa final'!#REF!),"")</f>
        <v>#REF!</v>
      </c>
      <c r="AE22" s="52" t="e">
        <f>IF(AND('Mapa final'!#REF!="Alta",'Mapa final'!#REF!="Mayor"),CONCATENATE("R7C",'Mapa final'!#REF!),"")</f>
        <v>#REF!</v>
      </c>
      <c r="AF22" s="52" t="e">
        <f>IF(AND('Mapa final'!#REF!="Alta",'Mapa final'!#REF!="Mayor"),CONCATENATE("R7C",'Mapa final'!#REF!),"")</f>
        <v>#REF!</v>
      </c>
      <c r="AG22" s="53" t="e">
        <f>IF(AND('Mapa final'!#REF!="Alta",'Mapa final'!#REF!="Mayor"),CONCATENATE("R7C",'Mapa final'!#REF!),"")</f>
        <v>#REF!</v>
      </c>
      <c r="AH22" s="54" t="str">
        <f>IF(AND('Mapa final'!$Z$36="Alta",'Mapa final'!$AB$36="Catastrófico"),CONCATENATE("R7C",'Mapa final'!$P$36),"")</f>
        <v/>
      </c>
      <c r="AI22" s="55" t="e">
        <f>IF(AND('Mapa final'!#REF!="Alta",'Mapa final'!#REF!="Catastrófico"),CONCATENATE("R7C",'Mapa final'!#REF!),"")</f>
        <v>#REF!</v>
      </c>
      <c r="AJ22" s="55" t="e">
        <f>IF(AND('Mapa final'!#REF!="Alta",'Mapa final'!#REF!="Catastrófico"),CONCATENATE("R7C",'Mapa final'!#REF!),"")</f>
        <v>#REF!</v>
      </c>
      <c r="AK22" s="55" t="e">
        <f>IF(AND('Mapa final'!#REF!="Alta",'Mapa final'!#REF!="Catastrófico"),CONCATENATE("R7C",'Mapa final'!#REF!),"")</f>
        <v>#REF!</v>
      </c>
      <c r="AL22" s="55" t="e">
        <f>IF(AND('Mapa final'!#REF!="Alta",'Mapa final'!#REF!="Catastrófico"),CONCATENATE("R7C",'Mapa final'!#REF!),"")</f>
        <v>#REF!</v>
      </c>
      <c r="AM22" s="56" t="e">
        <f>IF(AND('Mapa final'!#REF!="Alta",'Mapa final'!#REF!="Catastrófico"),CONCATENATE("R7C",'Mapa final'!#REF!),"")</f>
        <v>#REF!</v>
      </c>
      <c r="AN22" s="82"/>
      <c r="AO22" s="404"/>
      <c r="AP22" s="405"/>
      <c r="AQ22" s="405"/>
      <c r="AR22" s="405"/>
      <c r="AS22" s="405"/>
      <c r="AT22" s="406"/>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315"/>
      <c r="C23" s="315"/>
      <c r="D23" s="316"/>
      <c r="E23" s="414"/>
      <c r="F23" s="413"/>
      <c r="G23" s="413"/>
      <c r="H23" s="413"/>
      <c r="I23" s="413"/>
      <c r="J23" s="66" t="e">
        <f>IF(AND('Mapa final'!#REF!="Alta",'Mapa final'!#REF!="Leve"),CONCATENATE("R8C",'Mapa final'!#REF!),"")</f>
        <v>#REF!</v>
      </c>
      <c r="K23" s="67" t="e">
        <f>IF(AND('Mapa final'!#REF!="Alta",'Mapa final'!#REF!="Leve"),CONCATENATE("R8C",'Mapa final'!#REF!),"")</f>
        <v>#REF!</v>
      </c>
      <c r="L23" s="67" t="e">
        <f>IF(AND('Mapa final'!#REF!="Alta",'Mapa final'!#REF!="Leve"),CONCATENATE("R8C",'Mapa final'!#REF!),"")</f>
        <v>#REF!</v>
      </c>
      <c r="M23" s="67" t="e">
        <f>IF(AND('Mapa final'!#REF!="Alta",'Mapa final'!#REF!="Leve"),CONCATENATE("R8C",'Mapa final'!#REF!),"")</f>
        <v>#REF!</v>
      </c>
      <c r="N23" s="67" t="e">
        <f>IF(AND('Mapa final'!#REF!="Alta",'Mapa final'!#REF!="Leve"),CONCATENATE("R8C",'Mapa final'!#REF!),"")</f>
        <v>#REF!</v>
      </c>
      <c r="O23" s="68" t="e">
        <f>IF(AND('Mapa final'!#REF!="Alta",'Mapa final'!#REF!="Leve"),CONCATENATE("R8C",'Mapa final'!#REF!),"")</f>
        <v>#REF!</v>
      </c>
      <c r="P23" s="66" t="e">
        <f>IF(AND('Mapa final'!#REF!="Alta",'Mapa final'!#REF!="Menor"),CONCATENATE("R8C",'Mapa final'!#REF!),"")</f>
        <v>#REF!</v>
      </c>
      <c r="Q23" s="67" t="e">
        <f>IF(AND('Mapa final'!#REF!="Alta",'Mapa final'!#REF!="Menor"),CONCATENATE("R8C",'Mapa final'!#REF!),"")</f>
        <v>#REF!</v>
      </c>
      <c r="R23" s="67" t="e">
        <f>IF(AND('Mapa final'!#REF!="Alta",'Mapa final'!#REF!="Menor"),CONCATENATE("R8C",'Mapa final'!#REF!),"")</f>
        <v>#REF!</v>
      </c>
      <c r="S23" s="67" t="e">
        <f>IF(AND('Mapa final'!#REF!="Alta",'Mapa final'!#REF!="Menor"),CONCATENATE("R8C",'Mapa final'!#REF!),"")</f>
        <v>#REF!</v>
      </c>
      <c r="T23" s="67" t="e">
        <f>IF(AND('Mapa final'!#REF!="Alta",'Mapa final'!#REF!="Menor"),CONCATENATE("R8C",'Mapa final'!#REF!),"")</f>
        <v>#REF!</v>
      </c>
      <c r="U23" s="68" t="e">
        <f>IF(AND('Mapa final'!#REF!="Alta",'Mapa final'!#REF!="Menor"),CONCATENATE("R8C",'Mapa final'!#REF!),"")</f>
        <v>#REF!</v>
      </c>
      <c r="V23" s="51" t="e">
        <f>IF(AND('Mapa final'!#REF!="Alta",'Mapa final'!#REF!="Moderado"),CONCATENATE("R8C",'Mapa final'!#REF!),"")</f>
        <v>#REF!</v>
      </c>
      <c r="W23" s="52" t="e">
        <f>IF(AND('Mapa final'!#REF!="Alta",'Mapa final'!#REF!="Moderado"),CONCATENATE("R8C",'Mapa final'!#REF!),"")</f>
        <v>#REF!</v>
      </c>
      <c r="X23" s="52" t="e">
        <f>IF(AND('Mapa final'!#REF!="Alta",'Mapa final'!#REF!="Moderado"),CONCATENATE("R8C",'Mapa final'!#REF!),"")</f>
        <v>#REF!</v>
      </c>
      <c r="Y23" s="52" t="e">
        <f>IF(AND('Mapa final'!#REF!="Alta",'Mapa final'!#REF!="Moderado"),CONCATENATE("R8C",'Mapa final'!#REF!),"")</f>
        <v>#REF!</v>
      </c>
      <c r="Z23" s="52" t="e">
        <f>IF(AND('Mapa final'!#REF!="Alta",'Mapa final'!#REF!="Moderado"),CONCATENATE("R8C",'Mapa final'!#REF!),"")</f>
        <v>#REF!</v>
      </c>
      <c r="AA23" s="53" t="e">
        <f>IF(AND('Mapa final'!#REF!="Alta",'Mapa final'!#REF!="Moderado"),CONCATENATE("R8C",'Mapa final'!#REF!),"")</f>
        <v>#REF!</v>
      </c>
      <c r="AB23" s="51" t="e">
        <f>IF(AND('Mapa final'!#REF!="Alta",'Mapa final'!#REF!="Mayor"),CONCATENATE("R8C",'Mapa final'!#REF!),"")</f>
        <v>#REF!</v>
      </c>
      <c r="AC23" s="52" t="e">
        <f>IF(AND('Mapa final'!#REF!="Alta",'Mapa final'!#REF!="Mayor"),CONCATENATE("R8C",'Mapa final'!#REF!),"")</f>
        <v>#REF!</v>
      </c>
      <c r="AD23" s="52" t="e">
        <f>IF(AND('Mapa final'!#REF!="Alta",'Mapa final'!#REF!="Mayor"),CONCATENATE("R8C",'Mapa final'!#REF!),"")</f>
        <v>#REF!</v>
      </c>
      <c r="AE23" s="52" t="e">
        <f>IF(AND('Mapa final'!#REF!="Alta",'Mapa final'!#REF!="Mayor"),CONCATENATE("R8C",'Mapa final'!#REF!),"")</f>
        <v>#REF!</v>
      </c>
      <c r="AF23" s="52" t="e">
        <f>IF(AND('Mapa final'!#REF!="Alta",'Mapa final'!#REF!="Mayor"),CONCATENATE("R8C",'Mapa final'!#REF!),"")</f>
        <v>#REF!</v>
      </c>
      <c r="AG23" s="53" t="e">
        <f>IF(AND('Mapa final'!#REF!="Alta",'Mapa final'!#REF!="Mayor"),CONCATENATE("R8C",'Mapa final'!#REF!),"")</f>
        <v>#REF!</v>
      </c>
      <c r="AH23" s="54" t="e">
        <f>IF(AND('Mapa final'!#REF!="Alta",'Mapa final'!#REF!="Catastrófico"),CONCATENATE("R8C",'Mapa final'!#REF!),"")</f>
        <v>#REF!</v>
      </c>
      <c r="AI23" s="55" t="e">
        <f>IF(AND('Mapa final'!#REF!="Alta",'Mapa final'!#REF!="Catastrófico"),CONCATENATE("R8C",'Mapa final'!#REF!),"")</f>
        <v>#REF!</v>
      </c>
      <c r="AJ23" s="55" t="e">
        <f>IF(AND('Mapa final'!#REF!="Alta",'Mapa final'!#REF!="Catastrófico"),CONCATENATE("R8C",'Mapa final'!#REF!),"")</f>
        <v>#REF!</v>
      </c>
      <c r="AK23" s="55" t="e">
        <f>IF(AND('Mapa final'!#REF!="Alta",'Mapa final'!#REF!="Catastrófico"),CONCATENATE("R8C",'Mapa final'!#REF!),"")</f>
        <v>#REF!</v>
      </c>
      <c r="AL23" s="55" t="e">
        <f>IF(AND('Mapa final'!#REF!="Alta",'Mapa final'!#REF!="Catastrófico"),CONCATENATE("R8C",'Mapa final'!#REF!),"")</f>
        <v>#REF!</v>
      </c>
      <c r="AM23" s="56" t="e">
        <f>IF(AND('Mapa final'!#REF!="Alta",'Mapa final'!#REF!="Catastrófico"),CONCATENATE("R8C",'Mapa final'!#REF!),"")</f>
        <v>#REF!</v>
      </c>
      <c r="AN23" s="82"/>
      <c r="AO23" s="404"/>
      <c r="AP23" s="405"/>
      <c r="AQ23" s="405"/>
      <c r="AR23" s="405"/>
      <c r="AS23" s="405"/>
      <c r="AT23" s="406"/>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315"/>
      <c r="C24" s="315"/>
      <c r="D24" s="316"/>
      <c r="E24" s="414"/>
      <c r="F24" s="413"/>
      <c r="G24" s="413"/>
      <c r="H24" s="413"/>
      <c r="I24" s="413"/>
      <c r="J24" s="66" t="str">
        <f>IF(AND('Mapa final'!$Z$37="Alta",'Mapa final'!$AB$37="Leve"),CONCATENATE("R9C",'Mapa final'!$P$37),"")</f>
        <v/>
      </c>
      <c r="K24" s="67" t="e">
        <f>IF(AND('Mapa final'!#REF!="Alta",'Mapa final'!#REF!="Leve"),CONCATENATE("R9C",'Mapa final'!#REF!),"")</f>
        <v>#REF!</v>
      </c>
      <c r="L24" s="67" t="e">
        <f>IF(AND('Mapa final'!#REF!="Alta",'Mapa final'!#REF!="Leve"),CONCATENATE("R9C",'Mapa final'!#REF!),"")</f>
        <v>#REF!</v>
      </c>
      <c r="M24" s="67" t="e">
        <f>IF(AND('Mapa final'!#REF!="Alta",'Mapa final'!#REF!="Leve"),CONCATENATE("R9C",'Mapa final'!#REF!),"")</f>
        <v>#REF!</v>
      </c>
      <c r="N24" s="67" t="e">
        <f>IF(AND('Mapa final'!#REF!="Alta",'Mapa final'!#REF!="Leve"),CONCATENATE("R9C",'Mapa final'!#REF!),"")</f>
        <v>#REF!</v>
      </c>
      <c r="O24" s="68" t="e">
        <f>IF(AND('Mapa final'!#REF!="Alta",'Mapa final'!#REF!="Leve"),CONCATENATE("R9C",'Mapa final'!#REF!),"")</f>
        <v>#REF!</v>
      </c>
      <c r="P24" s="66" t="str">
        <f>IF(AND('Mapa final'!$Z$37="Alta",'Mapa final'!$AB$37="Menor"),CONCATENATE("R9C",'Mapa final'!$P$37),"")</f>
        <v/>
      </c>
      <c r="Q24" s="67" t="e">
        <f>IF(AND('Mapa final'!#REF!="Alta",'Mapa final'!#REF!="Menor"),CONCATENATE("R9C",'Mapa final'!#REF!),"")</f>
        <v>#REF!</v>
      </c>
      <c r="R24" s="67" t="e">
        <f>IF(AND('Mapa final'!#REF!="Alta",'Mapa final'!#REF!="Menor"),CONCATENATE("R9C",'Mapa final'!#REF!),"")</f>
        <v>#REF!</v>
      </c>
      <c r="S24" s="67" t="e">
        <f>IF(AND('Mapa final'!#REF!="Alta",'Mapa final'!#REF!="Menor"),CONCATENATE("R9C",'Mapa final'!#REF!),"")</f>
        <v>#REF!</v>
      </c>
      <c r="T24" s="67" t="e">
        <f>IF(AND('Mapa final'!#REF!="Alta",'Mapa final'!#REF!="Menor"),CONCATENATE("R9C",'Mapa final'!#REF!),"")</f>
        <v>#REF!</v>
      </c>
      <c r="U24" s="68" t="e">
        <f>IF(AND('Mapa final'!#REF!="Alta",'Mapa final'!#REF!="Menor"),CONCATENATE("R9C",'Mapa final'!#REF!),"")</f>
        <v>#REF!</v>
      </c>
      <c r="V24" s="51" t="str">
        <f>IF(AND('Mapa final'!$Z$37="Alta",'Mapa final'!$AB$37="Moderado"),CONCATENATE("R9C",'Mapa final'!$P$37),"")</f>
        <v/>
      </c>
      <c r="W24" s="52" t="e">
        <f>IF(AND('Mapa final'!#REF!="Alta",'Mapa final'!#REF!="Moderado"),CONCATENATE("R9C",'Mapa final'!#REF!),"")</f>
        <v>#REF!</v>
      </c>
      <c r="X24" s="52" t="e">
        <f>IF(AND('Mapa final'!#REF!="Alta",'Mapa final'!#REF!="Moderado"),CONCATENATE("R9C",'Mapa final'!#REF!),"")</f>
        <v>#REF!</v>
      </c>
      <c r="Y24" s="52" t="e">
        <f>IF(AND('Mapa final'!#REF!="Alta",'Mapa final'!#REF!="Moderado"),CONCATENATE("R9C",'Mapa final'!#REF!),"")</f>
        <v>#REF!</v>
      </c>
      <c r="Z24" s="52" t="e">
        <f>IF(AND('Mapa final'!#REF!="Alta",'Mapa final'!#REF!="Moderado"),CONCATENATE("R9C",'Mapa final'!#REF!),"")</f>
        <v>#REF!</v>
      </c>
      <c r="AA24" s="53" t="e">
        <f>IF(AND('Mapa final'!#REF!="Alta",'Mapa final'!#REF!="Moderado"),CONCATENATE("R9C",'Mapa final'!#REF!),"")</f>
        <v>#REF!</v>
      </c>
      <c r="AB24" s="51" t="str">
        <f>IF(AND('Mapa final'!$Z$37="Alta",'Mapa final'!$AB$37="Mayor"),CONCATENATE("R9C",'Mapa final'!$P$37),"")</f>
        <v/>
      </c>
      <c r="AC24" s="52" t="e">
        <f>IF(AND('Mapa final'!#REF!="Alta",'Mapa final'!#REF!="Mayor"),CONCATENATE("R9C",'Mapa final'!#REF!),"")</f>
        <v>#REF!</v>
      </c>
      <c r="AD24" s="52" t="e">
        <f>IF(AND('Mapa final'!#REF!="Alta",'Mapa final'!#REF!="Mayor"),CONCATENATE("R9C",'Mapa final'!#REF!),"")</f>
        <v>#REF!</v>
      </c>
      <c r="AE24" s="52" t="e">
        <f>IF(AND('Mapa final'!#REF!="Alta",'Mapa final'!#REF!="Mayor"),CONCATENATE("R9C",'Mapa final'!#REF!),"")</f>
        <v>#REF!</v>
      </c>
      <c r="AF24" s="52" t="e">
        <f>IF(AND('Mapa final'!#REF!="Alta",'Mapa final'!#REF!="Mayor"),CONCATENATE("R9C",'Mapa final'!#REF!),"")</f>
        <v>#REF!</v>
      </c>
      <c r="AG24" s="53" t="e">
        <f>IF(AND('Mapa final'!#REF!="Alta",'Mapa final'!#REF!="Mayor"),CONCATENATE("R9C",'Mapa final'!#REF!),"")</f>
        <v>#REF!</v>
      </c>
      <c r="AH24" s="54" t="str">
        <f>IF(AND('Mapa final'!$Z$37="Alta",'Mapa final'!$AB$37="Catastrófico"),CONCATENATE("R9C",'Mapa final'!$P$37),"")</f>
        <v/>
      </c>
      <c r="AI24" s="55" t="e">
        <f>IF(AND('Mapa final'!#REF!="Alta",'Mapa final'!#REF!="Catastrófico"),CONCATENATE("R9C",'Mapa final'!#REF!),"")</f>
        <v>#REF!</v>
      </c>
      <c r="AJ24" s="55" t="e">
        <f>IF(AND('Mapa final'!#REF!="Alta",'Mapa final'!#REF!="Catastrófico"),CONCATENATE("R9C",'Mapa final'!#REF!),"")</f>
        <v>#REF!</v>
      </c>
      <c r="AK24" s="55" t="e">
        <f>IF(AND('Mapa final'!#REF!="Alta",'Mapa final'!#REF!="Catastrófico"),CONCATENATE("R9C",'Mapa final'!#REF!),"")</f>
        <v>#REF!</v>
      </c>
      <c r="AL24" s="55" t="e">
        <f>IF(AND('Mapa final'!#REF!="Alta",'Mapa final'!#REF!="Catastrófico"),CONCATENATE("R9C",'Mapa final'!#REF!),"")</f>
        <v>#REF!</v>
      </c>
      <c r="AM24" s="56" t="e">
        <f>IF(AND('Mapa final'!#REF!="Alta",'Mapa final'!#REF!="Catastrófico"),CONCATENATE("R9C",'Mapa final'!#REF!),"")</f>
        <v>#REF!</v>
      </c>
      <c r="AN24" s="82"/>
      <c r="AO24" s="404"/>
      <c r="AP24" s="405"/>
      <c r="AQ24" s="405"/>
      <c r="AR24" s="405"/>
      <c r="AS24" s="405"/>
      <c r="AT24" s="406"/>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315"/>
      <c r="C25" s="315"/>
      <c r="D25" s="316"/>
      <c r="E25" s="415"/>
      <c r="F25" s="416"/>
      <c r="G25" s="416"/>
      <c r="H25" s="416"/>
      <c r="I25" s="416"/>
      <c r="J25" s="69" t="str">
        <f>IF(AND('Mapa final'!$Z$38="Alta",'Mapa final'!$AB$38="Leve"),CONCATENATE("R10C",'Mapa final'!$P$38),"")</f>
        <v/>
      </c>
      <c r="K25" s="70" t="e">
        <f>IF(AND('Mapa final'!#REF!="Alta",'Mapa final'!#REF!="Leve"),CONCATENATE("R10C",'Mapa final'!#REF!),"")</f>
        <v>#REF!</v>
      </c>
      <c r="L25" s="70" t="e">
        <f>IF(AND('Mapa final'!#REF!="Alta",'Mapa final'!#REF!="Leve"),CONCATENATE("R10C",'Mapa final'!#REF!),"")</f>
        <v>#REF!</v>
      </c>
      <c r="M25" s="70" t="e">
        <f>IF(AND('Mapa final'!#REF!="Alta",'Mapa final'!#REF!="Leve"),CONCATENATE("R10C",'Mapa final'!#REF!),"")</f>
        <v>#REF!</v>
      </c>
      <c r="N25" s="70" t="e">
        <f>IF(AND('Mapa final'!#REF!="Alta",'Mapa final'!#REF!="Leve"),CONCATENATE("R10C",'Mapa final'!#REF!),"")</f>
        <v>#REF!</v>
      </c>
      <c r="O25" s="71" t="e">
        <f>IF(AND('Mapa final'!#REF!="Alta",'Mapa final'!#REF!="Leve"),CONCATENATE("R10C",'Mapa final'!#REF!),"")</f>
        <v>#REF!</v>
      </c>
      <c r="P25" s="69" t="str">
        <f>IF(AND('Mapa final'!$Z$38="Alta",'Mapa final'!$AB$38="Menor"),CONCATENATE("R10C",'Mapa final'!$P$38),"")</f>
        <v/>
      </c>
      <c r="Q25" s="70" t="e">
        <f>IF(AND('Mapa final'!#REF!="Alta",'Mapa final'!#REF!="Menor"),CONCATENATE("R10C",'Mapa final'!#REF!),"")</f>
        <v>#REF!</v>
      </c>
      <c r="R25" s="70" t="e">
        <f>IF(AND('Mapa final'!#REF!="Alta",'Mapa final'!#REF!="Menor"),CONCATENATE("R10C",'Mapa final'!#REF!),"")</f>
        <v>#REF!</v>
      </c>
      <c r="S25" s="70" t="e">
        <f>IF(AND('Mapa final'!#REF!="Alta",'Mapa final'!#REF!="Menor"),CONCATENATE("R10C",'Mapa final'!#REF!),"")</f>
        <v>#REF!</v>
      </c>
      <c r="T25" s="70" t="e">
        <f>IF(AND('Mapa final'!#REF!="Alta",'Mapa final'!#REF!="Menor"),CONCATENATE("R10C",'Mapa final'!#REF!),"")</f>
        <v>#REF!</v>
      </c>
      <c r="U25" s="71" t="e">
        <f>IF(AND('Mapa final'!#REF!="Alta",'Mapa final'!#REF!="Menor"),CONCATENATE("R10C",'Mapa final'!#REF!),"")</f>
        <v>#REF!</v>
      </c>
      <c r="V25" s="57" t="str">
        <f>IF(AND('Mapa final'!$Z$38="Alta",'Mapa final'!$AB$38="Moderado"),CONCATENATE("R10C",'Mapa final'!$P$38),"")</f>
        <v/>
      </c>
      <c r="W25" s="58" t="e">
        <f>IF(AND('Mapa final'!#REF!="Alta",'Mapa final'!#REF!="Moderado"),CONCATENATE("R10C",'Mapa final'!#REF!),"")</f>
        <v>#REF!</v>
      </c>
      <c r="X25" s="58" t="e">
        <f>IF(AND('Mapa final'!#REF!="Alta",'Mapa final'!#REF!="Moderado"),CONCATENATE("R10C",'Mapa final'!#REF!),"")</f>
        <v>#REF!</v>
      </c>
      <c r="Y25" s="58" t="e">
        <f>IF(AND('Mapa final'!#REF!="Alta",'Mapa final'!#REF!="Moderado"),CONCATENATE("R10C",'Mapa final'!#REF!),"")</f>
        <v>#REF!</v>
      </c>
      <c r="Z25" s="58" t="e">
        <f>IF(AND('Mapa final'!#REF!="Alta",'Mapa final'!#REF!="Moderado"),CONCATENATE("R10C",'Mapa final'!#REF!),"")</f>
        <v>#REF!</v>
      </c>
      <c r="AA25" s="59" t="e">
        <f>IF(AND('Mapa final'!#REF!="Alta",'Mapa final'!#REF!="Moderado"),CONCATENATE("R10C",'Mapa final'!#REF!),"")</f>
        <v>#REF!</v>
      </c>
      <c r="AB25" s="57" t="str">
        <f>IF(AND('Mapa final'!$Z$38="Alta",'Mapa final'!$AB$38="Mayor"),CONCATENATE("R10C",'Mapa final'!$P$38),"")</f>
        <v/>
      </c>
      <c r="AC25" s="58" t="e">
        <f>IF(AND('Mapa final'!#REF!="Alta",'Mapa final'!#REF!="Mayor"),CONCATENATE("R10C",'Mapa final'!#REF!),"")</f>
        <v>#REF!</v>
      </c>
      <c r="AD25" s="58" t="e">
        <f>IF(AND('Mapa final'!#REF!="Alta",'Mapa final'!#REF!="Mayor"),CONCATENATE("R10C",'Mapa final'!#REF!),"")</f>
        <v>#REF!</v>
      </c>
      <c r="AE25" s="58" t="e">
        <f>IF(AND('Mapa final'!#REF!="Alta",'Mapa final'!#REF!="Mayor"),CONCATENATE("R10C",'Mapa final'!#REF!),"")</f>
        <v>#REF!</v>
      </c>
      <c r="AF25" s="58" t="e">
        <f>IF(AND('Mapa final'!#REF!="Alta",'Mapa final'!#REF!="Mayor"),CONCATENATE("R10C",'Mapa final'!#REF!),"")</f>
        <v>#REF!</v>
      </c>
      <c r="AG25" s="59" t="e">
        <f>IF(AND('Mapa final'!#REF!="Alta",'Mapa final'!#REF!="Mayor"),CONCATENATE("R10C",'Mapa final'!#REF!),"")</f>
        <v>#REF!</v>
      </c>
      <c r="AH25" s="60" t="str">
        <f>IF(AND('Mapa final'!$Z$38="Alta",'Mapa final'!$AB$38="Catastrófico"),CONCATENATE("R10C",'Mapa final'!$P$38),"")</f>
        <v/>
      </c>
      <c r="AI25" s="61" t="e">
        <f>IF(AND('Mapa final'!#REF!="Alta",'Mapa final'!#REF!="Catastrófico"),CONCATENATE("R10C",'Mapa final'!#REF!),"")</f>
        <v>#REF!</v>
      </c>
      <c r="AJ25" s="61" t="e">
        <f>IF(AND('Mapa final'!#REF!="Alta",'Mapa final'!#REF!="Catastrófico"),CONCATENATE("R10C",'Mapa final'!#REF!),"")</f>
        <v>#REF!</v>
      </c>
      <c r="AK25" s="61" t="e">
        <f>IF(AND('Mapa final'!#REF!="Alta",'Mapa final'!#REF!="Catastrófico"),CONCATENATE("R10C",'Mapa final'!#REF!),"")</f>
        <v>#REF!</v>
      </c>
      <c r="AL25" s="61" t="e">
        <f>IF(AND('Mapa final'!#REF!="Alta",'Mapa final'!#REF!="Catastrófico"),CONCATENATE("R10C",'Mapa final'!#REF!),"")</f>
        <v>#REF!</v>
      </c>
      <c r="AM25" s="62" t="e">
        <f>IF(AND('Mapa final'!#REF!="Alta",'Mapa final'!#REF!="Catastrófico"),CONCATENATE("R10C",'Mapa final'!#REF!),"")</f>
        <v>#REF!</v>
      </c>
      <c r="AN25" s="82"/>
      <c r="AO25" s="407"/>
      <c r="AP25" s="408"/>
      <c r="AQ25" s="408"/>
      <c r="AR25" s="408"/>
      <c r="AS25" s="408"/>
      <c r="AT25" s="409"/>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315"/>
      <c r="C26" s="315"/>
      <c r="D26" s="316"/>
      <c r="E26" s="410" t="s">
        <v>116</v>
      </c>
      <c r="F26" s="411"/>
      <c r="G26" s="411"/>
      <c r="H26" s="411"/>
      <c r="I26" s="428"/>
      <c r="J26" s="63" t="str">
        <f>IF(AND('Mapa final'!$Z$10="Media",'Mapa final'!$AB$10="Leve"),CONCATENATE("R1C",'Mapa final'!$P$10),"")</f>
        <v/>
      </c>
      <c r="K26" s="64" t="str">
        <f>IF(AND('Mapa final'!$Z$11="Media",'Mapa final'!$AB$11="Leve"),CONCATENATE("R1C",'Mapa final'!$P$11),"")</f>
        <v/>
      </c>
      <c r="L26" s="64" t="str">
        <f>IF(AND('Mapa final'!$Z$12="Media",'Mapa final'!$AB$12="Leve"),CONCATENATE("R1C",'Mapa final'!$P$12),"")</f>
        <v/>
      </c>
      <c r="M26" s="64" t="e">
        <f>IF(AND('Mapa final'!#REF!="Media",'Mapa final'!#REF!="Leve"),CONCATENATE("R1C",'Mapa final'!#REF!),"")</f>
        <v>#REF!</v>
      </c>
      <c r="N26" s="64" t="e">
        <f>IF(AND('Mapa final'!#REF!="Media",'Mapa final'!#REF!="Leve"),CONCATENATE("R1C",'Mapa final'!#REF!),"")</f>
        <v>#REF!</v>
      </c>
      <c r="O26" s="65" t="e">
        <f>IF(AND('Mapa final'!#REF!="Media",'Mapa final'!#REF!="Leve"),CONCATENATE("R1C",'Mapa final'!#REF!),"")</f>
        <v>#REF!</v>
      </c>
      <c r="P26" s="63" t="str">
        <f>IF(AND('Mapa final'!$Z$10="Media",'Mapa final'!$AB$10="Menor"),CONCATENATE("R1C",'Mapa final'!$P$10),"")</f>
        <v/>
      </c>
      <c r="Q26" s="64" t="str">
        <f>IF(AND('Mapa final'!$Z$11="Media",'Mapa final'!$AB$11="Menor"),CONCATENATE("R1C",'Mapa final'!$P$11),"")</f>
        <v/>
      </c>
      <c r="R26" s="64" t="str">
        <f>IF(AND('Mapa final'!$Z$12="Media",'Mapa final'!$AB$12="Menor"),CONCATENATE("R1C",'Mapa final'!$P$12),"")</f>
        <v/>
      </c>
      <c r="S26" s="64" t="e">
        <f>IF(AND('Mapa final'!#REF!="Media",'Mapa final'!#REF!="Menor"),CONCATENATE("R1C",'Mapa final'!#REF!),"")</f>
        <v>#REF!</v>
      </c>
      <c r="T26" s="64" t="e">
        <f>IF(AND('Mapa final'!#REF!="Media",'Mapa final'!#REF!="Menor"),CONCATENATE("R1C",'Mapa final'!#REF!),"")</f>
        <v>#REF!</v>
      </c>
      <c r="U26" s="65" t="e">
        <f>IF(AND('Mapa final'!#REF!="Media",'Mapa final'!#REF!="Menor"),CONCATENATE("R1C",'Mapa final'!#REF!),"")</f>
        <v>#REF!</v>
      </c>
      <c r="V26" s="63" t="str">
        <f>IF(AND('Mapa final'!$Z$10="Media",'Mapa final'!$AB$10="Moderado"),CONCATENATE("R1C",'Mapa final'!$P$10),"")</f>
        <v/>
      </c>
      <c r="W26" s="64" t="str">
        <f>IF(AND('Mapa final'!$Z$11="Media",'Mapa final'!$AB$11="Moderado"),CONCATENATE("R1C",'Mapa final'!$P$11),"")</f>
        <v/>
      </c>
      <c r="X26" s="64" t="str">
        <f>IF(AND('Mapa final'!$Z$12="Media",'Mapa final'!$AB$12="Moderado"),CONCATENATE("R1C",'Mapa final'!$P$12),"")</f>
        <v/>
      </c>
      <c r="Y26" s="64" t="e">
        <f>IF(AND('Mapa final'!#REF!="Media",'Mapa final'!#REF!="Moderado"),CONCATENATE("R1C",'Mapa final'!#REF!),"")</f>
        <v>#REF!</v>
      </c>
      <c r="Z26" s="64" t="e">
        <f>IF(AND('Mapa final'!#REF!="Media",'Mapa final'!#REF!="Moderado"),CONCATENATE("R1C",'Mapa final'!#REF!),"")</f>
        <v>#REF!</v>
      </c>
      <c r="AA26" s="65" t="e">
        <f>IF(AND('Mapa final'!#REF!="Media",'Mapa final'!#REF!="Moderado"),CONCATENATE("R1C",'Mapa final'!#REF!),"")</f>
        <v>#REF!</v>
      </c>
      <c r="AB26" s="45" t="str">
        <f>IF(AND('Mapa final'!$Z$10="Media",'Mapa final'!$AB$10="Mayor"),CONCATENATE("R1C",'Mapa final'!$P$10),"")</f>
        <v/>
      </c>
      <c r="AC26" s="46" t="str">
        <f>IF(AND('Mapa final'!$Z$11="Media",'Mapa final'!$AB$11="Mayor"),CONCATENATE("R1C",'Mapa final'!$P$11),"")</f>
        <v/>
      </c>
      <c r="AD26" s="46" t="str">
        <f>IF(AND('Mapa final'!$Z$12="Media",'Mapa final'!$AB$12="Mayor"),CONCATENATE("R1C",'Mapa final'!$P$12),"")</f>
        <v/>
      </c>
      <c r="AE26" s="46" t="e">
        <f>IF(AND('Mapa final'!#REF!="Media",'Mapa final'!#REF!="Mayor"),CONCATENATE("R1C",'Mapa final'!#REF!),"")</f>
        <v>#REF!</v>
      </c>
      <c r="AF26" s="46" t="e">
        <f>IF(AND('Mapa final'!#REF!="Media",'Mapa final'!#REF!="Mayor"),CONCATENATE("R1C",'Mapa final'!#REF!),"")</f>
        <v>#REF!</v>
      </c>
      <c r="AG26" s="47" t="e">
        <f>IF(AND('Mapa final'!#REF!="Media",'Mapa final'!#REF!="Mayor"),CONCATENATE("R1C",'Mapa final'!#REF!),"")</f>
        <v>#REF!</v>
      </c>
      <c r="AH26" s="48" t="str">
        <f>IF(AND('Mapa final'!$Z$10="Media",'Mapa final'!$AB$10="Catastrófico"),CONCATENATE("R1C",'Mapa final'!$P$10),"")</f>
        <v/>
      </c>
      <c r="AI26" s="49" t="str">
        <f>IF(AND('Mapa final'!$Z$11="Media",'Mapa final'!$AB$11="Catastrófico"),CONCATENATE("R1C",'Mapa final'!$P$11),"")</f>
        <v/>
      </c>
      <c r="AJ26" s="49" t="str">
        <f>IF(AND('Mapa final'!$Z$12="Media",'Mapa final'!$AB$12="Catastrófico"),CONCATENATE("R1C",'Mapa final'!$P$12),"")</f>
        <v/>
      </c>
      <c r="AK26" s="49" t="e">
        <f>IF(AND('Mapa final'!#REF!="Media",'Mapa final'!#REF!="Catastrófico"),CONCATENATE("R1C",'Mapa final'!#REF!),"")</f>
        <v>#REF!</v>
      </c>
      <c r="AL26" s="49" t="e">
        <f>IF(AND('Mapa final'!#REF!="Media",'Mapa final'!#REF!="Catastrófico"),CONCATENATE("R1C",'Mapa final'!#REF!),"")</f>
        <v>#REF!</v>
      </c>
      <c r="AM26" s="50" t="e">
        <f>IF(AND('Mapa final'!#REF!="Media",'Mapa final'!#REF!="Catastrófico"),CONCATENATE("R1C",'Mapa final'!#REF!),"")</f>
        <v>#REF!</v>
      </c>
      <c r="AN26" s="82"/>
      <c r="AO26" s="440" t="s">
        <v>80</v>
      </c>
      <c r="AP26" s="441"/>
      <c r="AQ26" s="441"/>
      <c r="AR26" s="441"/>
      <c r="AS26" s="441"/>
      <c r="AT26" s="44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315"/>
      <c r="C27" s="315"/>
      <c r="D27" s="316"/>
      <c r="E27" s="412"/>
      <c r="F27" s="413"/>
      <c r="G27" s="413"/>
      <c r="H27" s="413"/>
      <c r="I27" s="429"/>
      <c r="J27" s="66" t="str">
        <f>IF(AND('Mapa final'!$Z$13="Media",'Mapa final'!$AB$13="Leve"),CONCATENATE("R2C",'Mapa final'!$P$13),"")</f>
        <v/>
      </c>
      <c r="K27" s="67" t="str">
        <f>IF(AND('Mapa final'!$Z$14="Media",'Mapa final'!$AB$14="Leve"),CONCATENATE("R2C",'Mapa final'!$P$14),"")</f>
        <v/>
      </c>
      <c r="L27" s="67" t="str">
        <f>IF(AND('Mapa final'!$Z$15="Media",'Mapa final'!$AB$15="Leve"),CONCATENATE("R2C",'Mapa final'!$P$15),"")</f>
        <v/>
      </c>
      <c r="M27" s="67" t="str">
        <f>IF(AND('Mapa final'!$Z$16="Media",'Mapa final'!$AB$16="Leve"),CONCATENATE("R2C",'Mapa final'!$P$16),"")</f>
        <v/>
      </c>
      <c r="N27" s="67" t="e">
        <f>IF(AND('Mapa final'!#REF!="Media",'Mapa final'!#REF!="Leve"),CONCATENATE("R2C",'Mapa final'!#REF!),"")</f>
        <v>#REF!</v>
      </c>
      <c r="O27" s="68" t="e">
        <f>IF(AND('Mapa final'!#REF!="Media",'Mapa final'!#REF!="Leve"),CONCATENATE("R2C",'Mapa final'!#REF!),"")</f>
        <v>#REF!</v>
      </c>
      <c r="P27" s="66" t="str">
        <f>IF(AND('Mapa final'!$Z$13="Media",'Mapa final'!$AB$13="Menor"),CONCATENATE("R2C",'Mapa final'!$P$13),"")</f>
        <v/>
      </c>
      <c r="Q27" s="67" t="str">
        <f>IF(AND('Mapa final'!$Z$14="Media",'Mapa final'!$AB$14="Menor"),CONCATENATE("R2C",'Mapa final'!$P$14),"")</f>
        <v/>
      </c>
      <c r="R27" s="67" t="str">
        <f>IF(AND('Mapa final'!$Z$15="Media",'Mapa final'!$AB$15="Menor"),CONCATENATE("R2C",'Mapa final'!$P$15),"")</f>
        <v/>
      </c>
      <c r="S27" s="67" t="str">
        <f>IF(AND('Mapa final'!$Z$16="Media",'Mapa final'!$AB$16="Menor"),CONCATENATE("R2C",'Mapa final'!$P$16),"")</f>
        <v/>
      </c>
      <c r="T27" s="67" t="e">
        <f>IF(AND('Mapa final'!#REF!="Media",'Mapa final'!#REF!="Menor"),CONCATENATE("R2C",'Mapa final'!#REF!),"")</f>
        <v>#REF!</v>
      </c>
      <c r="U27" s="68" t="e">
        <f>IF(AND('Mapa final'!#REF!="Media",'Mapa final'!#REF!="Menor"),CONCATENATE("R2C",'Mapa final'!#REF!),"")</f>
        <v>#REF!</v>
      </c>
      <c r="V27" s="66" t="str">
        <f>IF(AND('Mapa final'!$Z$13="Media",'Mapa final'!$AB$13="Moderado"),CONCATENATE("R2C",'Mapa final'!$P$13),"")</f>
        <v/>
      </c>
      <c r="W27" s="67" t="str">
        <f>IF(AND('Mapa final'!$Z$14="Media",'Mapa final'!$AB$14="Moderado"),CONCATENATE("R2C",'Mapa final'!$P$14),"")</f>
        <v/>
      </c>
      <c r="X27" s="67" t="str">
        <f>IF(AND('Mapa final'!$Z$15="Media",'Mapa final'!$AB$15="Moderado"),CONCATENATE("R2C",'Mapa final'!$P$15),"")</f>
        <v/>
      </c>
      <c r="Y27" s="67" t="str">
        <f>IF(AND('Mapa final'!$Z$16="Media",'Mapa final'!$AB$16="Moderado"),CONCATENATE("R2C",'Mapa final'!$P$16),"")</f>
        <v/>
      </c>
      <c r="Z27" s="67" t="e">
        <f>IF(AND('Mapa final'!#REF!="Media",'Mapa final'!#REF!="Moderado"),CONCATENATE("R2C",'Mapa final'!#REF!),"")</f>
        <v>#REF!</v>
      </c>
      <c r="AA27" s="68" t="e">
        <f>IF(AND('Mapa final'!#REF!="Media",'Mapa final'!#REF!="Moderado"),CONCATENATE("R2C",'Mapa final'!#REF!),"")</f>
        <v>#REF!</v>
      </c>
      <c r="AB27" s="51" t="str">
        <f>IF(AND('Mapa final'!$Z$13="Media",'Mapa final'!$AB$13="Mayor"),CONCATENATE("R2C",'Mapa final'!$P$13),"")</f>
        <v/>
      </c>
      <c r="AC27" s="52" t="str">
        <f>IF(AND('Mapa final'!$Z$14="Media",'Mapa final'!$AB$14="Mayor"),CONCATENATE("R2C",'Mapa final'!$P$14),"")</f>
        <v/>
      </c>
      <c r="AD27" s="52" t="str">
        <f>IF(AND('Mapa final'!$Z$15="Media",'Mapa final'!$AB$15="Mayor"),CONCATENATE("R2C",'Mapa final'!$P$15),"")</f>
        <v/>
      </c>
      <c r="AE27" s="52" t="str">
        <f>IF(AND('Mapa final'!$Z$16="Media",'Mapa final'!$AB$16="Mayor"),CONCATENATE("R2C",'Mapa final'!$P$16),"")</f>
        <v/>
      </c>
      <c r="AF27" s="52" t="e">
        <f>IF(AND('Mapa final'!#REF!="Media",'Mapa final'!#REF!="Mayor"),CONCATENATE("R2C",'Mapa final'!#REF!),"")</f>
        <v>#REF!</v>
      </c>
      <c r="AG27" s="53" t="e">
        <f>IF(AND('Mapa final'!#REF!="Media",'Mapa final'!#REF!="Mayor"),CONCATENATE("R2C",'Mapa final'!#REF!),"")</f>
        <v>#REF!</v>
      </c>
      <c r="AH27" s="54" t="str">
        <f>IF(AND('Mapa final'!$Z$13="Media",'Mapa final'!$AB$13="Catastrófico"),CONCATENATE("R2C",'Mapa final'!$P$13),"")</f>
        <v/>
      </c>
      <c r="AI27" s="55" t="str">
        <f>IF(AND('Mapa final'!$Z$14="Media",'Mapa final'!$AB$14="Catastrófico"),CONCATENATE("R2C",'Mapa final'!$P$14),"")</f>
        <v/>
      </c>
      <c r="AJ27" s="55" t="str">
        <f>IF(AND('Mapa final'!$Z$15="Media",'Mapa final'!$AB$15="Catastrófico"),CONCATENATE("R2C",'Mapa final'!$P$15),"")</f>
        <v/>
      </c>
      <c r="AK27" s="55" t="str">
        <f>IF(AND('Mapa final'!$Z$16="Media",'Mapa final'!$AB$16="Catastrófico"),CONCATENATE("R2C",'Mapa final'!$P$16),"")</f>
        <v/>
      </c>
      <c r="AL27" s="55" t="e">
        <f>IF(AND('Mapa final'!#REF!="Media",'Mapa final'!#REF!="Catastrófico"),CONCATENATE("R2C",'Mapa final'!#REF!),"")</f>
        <v>#REF!</v>
      </c>
      <c r="AM27" s="56" t="e">
        <f>IF(AND('Mapa final'!#REF!="Media",'Mapa final'!#REF!="Catastrófico"),CONCATENATE("R2C",'Mapa final'!#REF!),"")</f>
        <v>#REF!</v>
      </c>
      <c r="AN27" s="82"/>
      <c r="AO27" s="443"/>
      <c r="AP27" s="444"/>
      <c r="AQ27" s="444"/>
      <c r="AR27" s="444"/>
      <c r="AS27" s="444"/>
      <c r="AT27" s="445"/>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315"/>
      <c r="C28" s="315"/>
      <c r="D28" s="316"/>
      <c r="E28" s="414"/>
      <c r="F28" s="413"/>
      <c r="G28" s="413"/>
      <c r="H28" s="413"/>
      <c r="I28" s="429"/>
      <c r="J28" s="66" t="str">
        <f>IF(AND('Mapa final'!$Z$17="Media",'Mapa final'!$AB$17="Leve"),CONCATENATE("R3C",'Mapa final'!$P$17),"")</f>
        <v/>
      </c>
      <c r="K28" s="67" t="str">
        <f>IF(AND('Mapa final'!$Z$18="Media",'Mapa final'!$AB$18="Leve"),CONCATENATE("R3C",'Mapa final'!$P$18),"")</f>
        <v/>
      </c>
      <c r="L28" s="67" t="str">
        <f>IF(AND('Mapa final'!$Z$19="Media",'Mapa final'!$AB$19="Leve"),CONCATENATE("R3C",'Mapa final'!$P$19),"")</f>
        <v/>
      </c>
      <c r="M28" s="67" t="e">
        <f>IF(AND('Mapa final'!#REF!="Media",'Mapa final'!#REF!="Leve"),CONCATENATE("R3C",'Mapa final'!#REF!),"")</f>
        <v>#REF!</v>
      </c>
      <c r="N28" s="67" t="e">
        <f>IF(AND('Mapa final'!#REF!="Media",'Mapa final'!#REF!="Leve"),CONCATENATE("R3C",'Mapa final'!#REF!),"")</f>
        <v>#REF!</v>
      </c>
      <c r="O28" s="68" t="e">
        <f>IF(AND('Mapa final'!#REF!="Media",'Mapa final'!#REF!="Leve"),CONCATENATE("R3C",'Mapa final'!#REF!),"")</f>
        <v>#REF!</v>
      </c>
      <c r="P28" s="66" t="str">
        <f>IF(AND('Mapa final'!$Z$17="Media",'Mapa final'!$AB$17="Menor"),CONCATENATE("R3C",'Mapa final'!$P$17),"")</f>
        <v/>
      </c>
      <c r="Q28" s="67" t="str">
        <f>IF(AND('Mapa final'!$Z$18="Media",'Mapa final'!$AB$18="Menor"),CONCATENATE("R3C",'Mapa final'!$P$18),"")</f>
        <v/>
      </c>
      <c r="R28" s="67" t="str">
        <f>IF(AND('Mapa final'!$Z$19="Media",'Mapa final'!$AB$19="Menor"),CONCATENATE("R3C",'Mapa final'!$P$19),"")</f>
        <v/>
      </c>
      <c r="S28" s="67" t="e">
        <f>IF(AND('Mapa final'!#REF!="Media",'Mapa final'!#REF!="Menor"),CONCATENATE("R3C",'Mapa final'!#REF!),"")</f>
        <v>#REF!</v>
      </c>
      <c r="T28" s="67" t="e">
        <f>IF(AND('Mapa final'!#REF!="Media",'Mapa final'!#REF!="Menor"),CONCATENATE("R3C",'Mapa final'!#REF!),"")</f>
        <v>#REF!</v>
      </c>
      <c r="U28" s="68" t="e">
        <f>IF(AND('Mapa final'!#REF!="Media",'Mapa final'!#REF!="Menor"),CONCATENATE("R3C",'Mapa final'!#REF!),"")</f>
        <v>#REF!</v>
      </c>
      <c r="V28" s="66" t="str">
        <f>IF(AND('Mapa final'!$Z$17="Media",'Mapa final'!$AB$17="Moderado"),CONCATENATE("R3C",'Mapa final'!$P$17),"")</f>
        <v/>
      </c>
      <c r="W28" s="67" t="str">
        <f>IF(AND('Mapa final'!$Z$18="Media",'Mapa final'!$AB$18="Moderado"),CONCATENATE("R3C",'Mapa final'!$P$18),"")</f>
        <v/>
      </c>
      <c r="X28" s="67" t="str">
        <f>IF(AND('Mapa final'!$Z$19="Media",'Mapa final'!$AB$19="Moderado"),CONCATENATE("R3C",'Mapa final'!$P$19),"")</f>
        <v/>
      </c>
      <c r="Y28" s="67" t="e">
        <f>IF(AND('Mapa final'!#REF!="Media",'Mapa final'!#REF!="Moderado"),CONCATENATE("R3C",'Mapa final'!#REF!),"")</f>
        <v>#REF!</v>
      </c>
      <c r="Z28" s="67" t="e">
        <f>IF(AND('Mapa final'!#REF!="Media",'Mapa final'!#REF!="Moderado"),CONCATENATE("R3C",'Mapa final'!#REF!),"")</f>
        <v>#REF!</v>
      </c>
      <c r="AA28" s="68" t="e">
        <f>IF(AND('Mapa final'!#REF!="Media",'Mapa final'!#REF!="Moderado"),CONCATENATE("R3C",'Mapa final'!#REF!),"")</f>
        <v>#REF!</v>
      </c>
      <c r="AB28" s="51" t="str">
        <f>IF(AND('Mapa final'!$Z$17="Media",'Mapa final'!$AB$17="Mayor"),CONCATENATE("R3C",'Mapa final'!$P$17),"")</f>
        <v/>
      </c>
      <c r="AC28" s="52" t="str">
        <f>IF(AND('Mapa final'!$Z$18="Media",'Mapa final'!$AB$18="Mayor"),CONCATENATE("R3C",'Mapa final'!$P$18),"")</f>
        <v/>
      </c>
      <c r="AD28" s="52" t="str">
        <f>IF(AND('Mapa final'!$Z$19="Media",'Mapa final'!$AB$19="Mayor"),CONCATENATE("R3C",'Mapa final'!$P$19),"")</f>
        <v/>
      </c>
      <c r="AE28" s="52" t="e">
        <f>IF(AND('Mapa final'!#REF!="Media",'Mapa final'!#REF!="Mayor"),CONCATENATE("R3C",'Mapa final'!#REF!),"")</f>
        <v>#REF!</v>
      </c>
      <c r="AF28" s="52" t="e">
        <f>IF(AND('Mapa final'!#REF!="Media",'Mapa final'!#REF!="Mayor"),CONCATENATE("R3C",'Mapa final'!#REF!),"")</f>
        <v>#REF!</v>
      </c>
      <c r="AG28" s="53" t="e">
        <f>IF(AND('Mapa final'!#REF!="Media",'Mapa final'!#REF!="Mayor"),CONCATENATE("R3C",'Mapa final'!#REF!),"")</f>
        <v>#REF!</v>
      </c>
      <c r="AH28" s="54" t="str">
        <f>IF(AND('Mapa final'!$Z$17="Media",'Mapa final'!$AB$17="Catastrófico"),CONCATENATE("R3C",'Mapa final'!$P$17),"")</f>
        <v/>
      </c>
      <c r="AI28" s="55" t="str">
        <f>IF(AND('Mapa final'!$Z$18="Media",'Mapa final'!$AB$18="Catastrófico"),CONCATENATE("R3C",'Mapa final'!$P$18),"")</f>
        <v/>
      </c>
      <c r="AJ28" s="55" t="str">
        <f>IF(AND('Mapa final'!$Z$19="Media",'Mapa final'!$AB$19="Catastrófico"),CONCATENATE("R3C",'Mapa final'!$P$19),"")</f>
        <v/>
      </c>
      <c r="AK28" s="55" t="e">
        <f>IF(AND('Mapa final'!#REF!="Media",'Mapa final'!#REF!="Catastrófico"),CONCATENATE("R3C",'Mapa final'!#REF!),"")</f>
        <v>#REF!</v>
      </c>
      <c r="AL28" s="55" t="e">
        <f>IF(AND('Mapa final'!#REF!="Media",'Mapa final'!#REF!="Catastrófico"),CONCATENATE("R3C",'Mapa final'!#REF!),"")</f>
        <v>#REF!</v>
      </c>
      <c r="AM28" s="56" t="e">
        <f>IF(AND('Mapa final'!#REF!="Media",'Mapa final'!#REF!="Catastrófico"),CONCATENATE("R3C",'Mapa final'!#REF!),"")</f>
        <v>#REF!</v>
      </c>
      <c r="AN28" s="82"/>
      <c r="AO28" s="443"/>
      <c r="AP28" s="444"/>
      <c r="AQ28" s="444"/>
      <c r="AR28" s="444"/>
      <c r="AS28" s="444"/>
      <c r="AT28" s="445"/>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315"/>
      <c r="C29" s="315"/>
      <c r="D29" s="316"/>
      <c r="E29" s="414"/>
      <c r="F29" s="413"/>
      <c r="G29" s="413"/>
      <c r="H29" s="413"/>
      <c r="I29" s="429"/>
      <c r="J29" s="66" t="str">
        <f>IF(AND('Mapa final'!$Z$20="Media",'Mapa final'!$AB$20="Leve"),CONCATENATE("R4C",'Mapa final'!$P$20),"")</f>
        <v/>
      </c>
      <c r="K29" s="67" t="e">
        <f>IF(AND('Mapa final'!#REF!="Media",'Mapa final'!#REF!="Leve"),CONCATENATE("R4C",'Mapa final'!#REF!),"")</f>
        <v>#REF!</v>
      </c>
      <c r="L29" s="67" t="e">
        <f>IF(AND('Mapa final'!#REF!="Media",'Mapa final'!#REF!="Leve"),CONCATENATE("R4C",'Mapa final'!#REF!),"")</f>
        <v>#REF!</v>
      </c>
      <c r="M29" s="67" t="e">
        <f>IF(AND('Mapa final'!#REF!="Media",'Mapa final'!#REF!="Leve"),CONCATENATE("R4C",'Mapa final'!#REF!),"")</f>
        <v>#REF!</v>
      </c>
      <c r="N29" s="67" t="e">
        <f>IF(AND('Mapa final'!#REF!="Media",'Mapa final'!#REF!="Leve"),CONCATENATE("R4C",'Mapa final'!#REF!),"")</f>
        <v>#REF!</v>
      </c>
      <c r="O29" s="68" t="e">
        <f>IF(AND('Mapa final'!#REF!="Media",'Mapa final'!#REF!="Leve"),CONCATENATE("R4C",'Mapa final'!#REF!),"")</f>
        <v>#REF!</v>
      </c>
      <c r="P29" s="66" t="str">
        <f>IF(AND('Mapa final'!$Z$20="Media",'Mapa final'!$AB$20="Menor"),CONCATENATE("R4C",'Mapa final'!$P$20),"")</f>
        <v/>
      </c>
      <c r="Q29" s="67" t="e">
        <f>IF(AND('Mapa final'!#REF!="Media",'Mapa final'!#REF!="Menor"),CONCATENATE("R4C",'Mapa final'!#REF!),"")</f>
        <v>#REF!</v>
      </c>
      <c r="R29" s="67" t="e">
        <f>IF(AND('Mapa final'!#REF!="Media",'Mapa final'!#REF!="Menor"),CONCATENATE("R4C",'Mapa final'!#REF!),"")</f>
        <v>#REF!</v>
      </c>
      <c r="S29" s="67" t="e">
        <f>IF(AND('Mapa final'!#REF!="Media",'Mapa final'!#REF!="Menor"),CONCATENATE("R4C",'Mapa final'!#REF!),"")</f>
        <v>#REF!</v>
      </c>
      <c r="T29" s="67" t="e">
        <f>IF(AND('Mapa final'!#REF!="Media",'Mapa final'!#REF!="Menor"),CONCATENATE("R4C",'Mapa final'!#REF!),"")</f>
        <v>#REF!</v>
      </c>
      <c r="U29" s="68" t="e">
        <f>IF(AND('Mapa final'!#REF!="Media",'Mapa final'!#REF!="Menor"),CONCATENATE("R4C",'Mapa final'!#REF!),"")</f>
        <v>#REF!</v>
      </c>
      <c r="V29" s="66" t="str">
        <f>IF(AND('Mapa final'!$Z$20="Media",'Mapa final'!$AB$20="Moderado"),CONCATENATE("R4C",'Mapa final'!$P$20),"")</f>
        <v/>
      </c>
      <c r="W29" s="67" t="e">
        <f>IF(AND('Mapa final'!#REF!="Media",'Mapa final'!#REF!="Moderado"),CONCATENATE("R4C",'Mapa final'!#REF!),"")</f>
        <v>#REF!</v>
      </c>
      <c r="X29" s="67" t="e">
        <f>IF(AND('Mapa final'!#REF!="Media",'Mapa final'!#REF!="Moderado"),CONCATENATE("R4C",'Mapa final'!#REF!),"")</f>
        <v>#REF!</v>
      </c>
      <c r="Y29" s="67" t="e">
        <f>IF(AND('Mapa final'!#REF!="Media",'Mapa final'!#REF!="Moderado"),CONCATENATE("R4C",'Mapa final'!#REF!),"")</f>
        <v>#REF!</v>
      </c>
      <c r="Z29" s="67" t="e">
        <f>IF(AND('Mapa final'!#REF!="Media",'Mapa final'!#REF!="Moderado"),CONCATENATE("R4C",'Mapa final'!#REF!),"")</f>
        <v>#REF!</v>
      </c>
      <c r="AA29" s="68" t="e">
        <f>IF(AND('Mapa final'!#REF!="Media",'Mapa final'!#REF!="Moderado"),CONCATENATE("R4C",'Mapa final'!#REF!),"")</f>
        <v>#REF!</v>
      </c>
      <c r="AB29" s="51" t="str">
        <f>IF(AND('Mapa final'!$Z$20="Media",'Mapa final'!$AB$20="Mayor"),CONCATENATE("R4C",'Mapa final'!$P$20),"")</f>
        <v/>
      </c>
      <c r="AC29" s="52" t="e">
        <f>IF(AND('Mapa final'!#REF!="Media",'Mapa final'!#REF!="Mayor"),CONCATENATE("R4C",'Mapa final'!#REF!),"")</f>
        <v>#REF!</v>
      </c>
      <c r="AD29" s="52" t="e">
        <f>IF(AND('Mapa final'!#REF!="Media",'Mapa final'!#REF!="Mayor"),CONCATENATE("R4C",'Mapa final'!#REF!),"")</f>
        <v>#REF!</v>
      </c>
      <c r="AE29" s="52" t="e">
        <f>IF(AND('Mapa final'!#REF!="Media",'Mapa final'!#REF!="Mayor"),CONCATENATE("R4C",'Mapa final'!#REF!),"")</f>
        <v>#REF!</v>
      </c>
      <c r="AF29" s="52" t="e">
        <f>IF(AND('Mapa final'!#REF!="Media",'Mapa final'!#REF!="Mayor"),CONCATENATE("R4C",'Mapa final'!#REF!),"")</f>
        <v>#REF!</v>
      </c>
      <c r="AG29" s="53" t="e">
        <f>IF(AND('Mapa final'!#REF!="Media",'Mapa final'!#REF!="Mayor"),CONCATENATE("R4C",'Mapa final'!#REF!),"")</f>
        <v>#REF!</v>
      </c>
      <c r="AH29" s="54" t="str">
        <f>IF(AND('Mapa final'!$Z$20="Media",'Mapa final'!$AB$20="Catastrófico"),CONCATENATE("R4C",'Mapa final'!$P$20),"")</f>
        <v/>
      </c>
      <c r="AI29" s="55" t="e">
        <f>IF(AND('Mapa final'!#REF!="Media",'Mapa final'!#REF!="Catastrófico"),CONCATENATE("R4C",'Mapa final'!#REF!),"")</f>
        <v>#REF!</v>
      </c>
      <c r="AJ29" s="55" t="e">
        <f>IF(AND('Mapa final'!#REF!="Media",'Mapa final'!#REF!="Catastrófico"),CONCATENATE("R4C",'Mapa final'!#REF!),"")</f>
        <v>#REF!</v>
      </c>
      <c r="AK29" s="55" t="e">
        <f>IF(AND('Mapa final'!#REF!="Media",'Mapa final'!#REF!="Catastrófico"),CONCATENATE("R4C",'Mapa final'!#REF!),"")</f>
        <v>#REF!</v>
      </c>
      <c r="AL29" s="55" t="e">
        <f>IF(AND('Mapa final'!#REF!="Media",'Mapa final'!#REF!="Catastrófico"),CONCATENATE("R4C",'Mapa final'!#REF!),"")</f>
        <v>#REF!</v>
      </c>
      <c r="AM29" s="56" t="e">
        <f>IF(AND('Mapa final'!#REF!="Media",'Mapa final'!#REF!="Catastrófico"),CONCATENATE("R4C",'Mapa final'!#REF!),"")</f>
        <v>#REF!</v>
      </c>
      <c r="AN29" s="82"/>
      <c r="AO29" s="443"/>
      <c r="AP29" s="444"/>
      <c r="AQ29" s="444"/>
      <c r="AR29" s="444"/>
      <c r="AS29" s="444"/>
      <c r="AT29" s="445"/>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315"/>
      <c r="C30" s="315"/>
      <c r="D30" s="316"/>
      <c r="E30" s="414"/>
      <c r="F30" s="413"/>
      <c r="G30" s="413"/>
      <c r="H30" s="413"/>
      <c r="I30" s="429"/>
      <c r="J30" s="66" t="str">
        <f>IF(AND('Mapa final'!$Z$21="Media",'Mapa final'!$AB$21="Leve"),CONCATENATE("R5C",'Mapa final'!$P$21),"")</f>
        <v/>
      </c>
      <c r="K30" s="67" t="str">
        <f>IF(AND('Mapa final'!$Z$22="Media",'Mapa final'!$AB$22="Leve"),CONCATENATE("R5C",'Mapa final'!$P$22),"")</f>
        <v/>
      </c>
      <c r="L30" s="67" t="str">
        <f>IF(AND('Mapa final'!$Z$23="Media",'Mapa final'!$AB$23="Leve"),CONCATENATE("R5C",'Mapa final'!$P$23),"")</f>
        <v/>
      </c>
      <c r="M30" s="67" t="str">
        <f>IF(AND('Mapa final'!$Z$24="Media",'Mapa final'!$AB$24="Leve"),CONCATENATE("R5C",'Mapa final'!$P$24),"")</f>
        <v/>
      </c>
      <c r="N30" s="67" t="str">
        <f>IF(AND('Mapa final'!$Z$25="Media",'Mapa final'!$AB$25="Leve"),CONCATENATE("R5C",'Mapa final'!$P$25),"")</f>
        <v/>
      </c>
      <c r="O30" s="68" t="e">
        <f>IF(AND('Mapa final'!#REF!="Media",'Mapa final'!#REF!="Leve"),CONCATENATE("R5C",'Mapa final'!#REF!),"")</f>
        <v>#REF!</v>
      </c>
      <c r="P30" s="66" t="str">
        <f>IF(AND('Mapa final'!$Z$21="Media",'Mapa final'!$AB$21="Menor"),CONCATENATE("R5C",'Mapa final'!$P$21),"")</f>
        <v/>
      </c>
      <c r="Q30" s="67" t="str">
        <f>IF(AND('Mapa final'!$Z$22="Media",'Mapa final'!$AB$22="Menor"),CONCATENATE("R5C",'Mapa final'!$P$22),"")</f>
        <v/>
      </c>
      <c r="R30" s="67" t="str">
        <f>IF(AND('Mapa final'!$Z$23="Media",'Mapa final'!$AB$23="Menor"),CONCATENATE("R5C",'Mapa final'!$P$23),"")</f>
        <v/>
      </c>
      <c r="S30" s="67" t="str">
        <f>IF(AND('Mapa final'!$Z$24="Media",'Mapa final'!$AB$24="Menor"),CONCATENATE("R5C",'Mapa final'!$P$24),"")</f>
        <v/>
      </c>
      <c r="T30" s="67" t="str">
        <f>IF(AND('Mapa final'!$Z$25="Media",'Mapa final'!$AB$25="Menor"),CONCATENATE("R5C",'Mapa final'!$P$25),"")</f>
        <v/>
      </c>
      <c r="U30" s="68" t="e">
        <f>IF(AND('Mapa final'!#REF!="Media",'Mapa final'!#REF!="Menor"),CONCATENATE("R5C",'Mapa final'!#REF!),"")</f>
        <v>#REF!</v>
      </c>
      <c r="V30" s="66" t="str">
        <f>IF(AND('Mapa final'!$Z$21="Media",'Mapa final'!$AB$21="Moderado"),CONCATENATE("R5C",'Mapa final'!$P$21),"")</f>
        <v/>
      </c>
      <c r="W30" s="67" t="str">
        <f>IF(AND('Mapa final'!$Z$22="Media",'Mapa final'!$AB$22="Moderado"),CONCATENATE("R5C",'Mapa final'!$P$22),"")</f>
        <v/>
      </c>
      <c r="X30" s="67" t="str">
        <f>IF(AND('Mapa final'!$Z$23="Media",'Mapa final'!$AB$23="Moderado"),CONCATENATE("R5C",'Mapa final'!$P$23),"")</f>
        <v/>
      </c>
      <c r="Y30" s="67" t="str">
        <f>IF(AND('Mapa final'!$Z$24="Media",'Mapa final'!$AB$24="Moderado"),CONCATENATE("R5C",'Mapa final'!$P$24),"")</f>
        <v/>
      </c>
      <c r="Z30" s="67" t="str">
        <f>IF(AND('Mapa final'!$Z$25="Media",'Mapa final'!$AB$25="Moderado"),CONCATENATE("R5C",'Mapa final'!$P$25),"")</f>
        <v/>
      </c>
      <c r="AA30" s="68" t="e">
        <f>IF(AND('Mapa final'!#REF!="Media",'Mapa final'!#REF!="Moderado"),CONCATENATE("R5C",'Mapa final'!#REF!),"")</f>
        <v>#REF!</v>
      </c>
      <c r="AB30" s="51" t="str">
        <f>IF(AND('Mapa final'!$Z$21="Media",'Mapa final'!$AB$21="Mayor"),CONCATENATE("R5C",'Mapa final'!$P$21),"")</f>
        <v/>
      </c>
      <c r="AC30" s="52" t="str">
        <f>IF(AND('Mapa final'!$Z$22="Media",'Mapa final'!$AB$22="Mayor"),CONCATENATE("R5C",'Mapa final'!$P$22),"")</f>
        <v/>
      </c>
      <c r="AD30" s="52" t="str">
        <f>IF(AND('Mapa final'!$Z$23="Media",'Mapa final'!$AB$23="Mayor"),CONCATENATE("R5C",'Mapa final'!$P$23),"")</f>
        <v/>
      </c>
      <c r="AE30" s="52" t="str">
        <f>IF(AND('Mapa final'!$Z$24="Media",'Mapa final'!$AB$24="Mayor"),CONCATENATE("R5C",'Mapa final'!$P$24),"")</f>
        <v/>
      </c>
      <c r="AF30" s="52" t="str">
        <f>IF(AND('Mapa final'!$Z$25="Media",'Mapa final'!$AB$25="Mayor"),CONCATENATE("R5C",'Mapa final'!$P$25),"")</f>
        <v/>
      </c>
      <c r="AG30" s="53" t="e">
        <f>IF(AND('Mapa final'!#REF!="Media",'Mapa final'!#REF!="Mayor"),CONCATENATE("R5C",'Mapa final'!#REF!),"")</f>
        <v>#REF!</v>
      </c>
      <c r="AH30" s="54" t="str">
        <f>IF(AND('Mapa final'!$Z$21="Media",'Mapa final'!$AB$21="Catastrófico"),CONCATENATE("R5C",'Mapa final'!$P$21),"")</f>
        <v>R5C1</v>
      </c>
      <c r="AI30" s="55" t="str">
        <f>IF(AND('Mapa final'!$Z$22="Media",'Mapa final'!$AB$22="Catastrófico"),CONCATENATE("R5C",'Mapa final'!$P$22),"")</f>
        <v/>
      </c>
      <c r="AJ30" s="55" t="str">
        <f>IF(AND('Mapa final'!$Z$23="Media",'Mapa final'!$AB$23="Catastrófico"),CONCATENATE("R5C",'Mapa final'!$P$23),"")</f>
        <v/>
      </c>
      <c r="AK30" s="55" t="str">
        <f>IF(AND('Mapa final'!$Z$24="Media",'Mapa final'!$AB$24="Catastrófico"),CONCATENATE("R5C",'Mapa final'!$P$24),"")</f>
        <v/>
      </c>
      <c r="AL30" s="55" t="str">
        <f>IF(AND('Mapa final'!$Z$25="Media",'Mapa final'!$AB$25="Catastrófico"),CONCATENATE("R5C",'Mapa final'!$P$25),"")</f>
        <v/>
      </c>
      <c r="AM30" s="56" t="e">
        <f>IF(AND('Mapa final'!#REF!="Media",'Mapa final'!#REF!="Catastrófico"),CONCATENATE("R5C",'Mapa final'!#REF!),"")</f>
        <v>#REF!</v>
      </c>
      <c r="AN30" s="82"/>
      <c r="AO30" s="443"/>
      <c r="AP30" s="444"/>
      <c r="AQ30" s="444"/>
      <c r="AR30" s="444"/>
      <c r="AS30" s="444"/>
      <c r="AT30" s="445"/>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315"/>
      <c r="C31" s="315"/>
      <c r="D31" s="316"/>
      <c r="E31" s="414"/>
      <c r="F31" s="413"/>
      <c r="G31" s="413"/>
      <c r="H31" s="413"/>
      <c r="I31" s="429"/>
      <c r="J31" s="66" t="str">
        <f>IF(AND('Mapa final'!$Z$35="Media",'Mapa final'!$AB$35="Leve"),CONCATENATE("R6C",'Mapa final'!$P$35),"")</f>
        <v/>
      </c>
      <c r="K31" s="67" t="e">
        <f>IF(AND('Mapa final'!#REF!="Media",'Mapa final'!#REF!="Leve"),CONCATENATE("R6C",'Mapa final'!#REF!),"")</f>
        <v>#REF!</v>
      </c>
      <c r="L31" s="67" t="e">
        <f>IF(AND('Mapa final'!#REF!="Media",'Mapa final'!#REF!="Leve"),CONCATENATE("R6C",'Mapa final'!#REF!),"")</f>
        <v>#REF!</v>
      </c>
      <c r="M31" s="67" t="e">
        <f>IF(AND('Mapa final'!#REF!="Media",'Mapa final'!#REF!="Leve"),CONCATENATE("R6C",'Mapa final'!#REF!),"")</f>
        <v>#REF!</v>
      </c>
      <c r="N31" s="67" t="e">
        <f>IF(AND('Mapa final'!#REF!="Media",'Mapa final'!#REF!="Leve"),CONCATENATE("R6C",'Mapa final'!#REF!),"")</f>
        <v>#REF!</v>
      </c>
      <c r="O31" s="68" t="e">
        <f>IF(AND('Mapa final'!#REF!="Media",'Mapa final'!#REF!="Leve"),CONCATENATE("R6C",'Mapa final'!#REF!),"")</f>
        <v>#REF!</v>
      </c>
      <c r="P31" s="66" t="str">
        <f>IF(AND('Mapa final'!$Z$35="Media",'Mapa final'!$AB$35="Menor"),CONCATENATE("R6C",'Mapa final'!$P$35),"")</f>
        <v/>
      </c>
      <c r="Q31" s="67" t="e">
        <f>IF(AND('Mapa final'!#REF!="Media",'Mapa final'!#REF!="Menor"),CONCATENATE("R6C",'Mapa final'!#REF!),"")</f>
        <v>#REF!</v>
      </c>
      <c r="R31" s="67" t="e">
        <f>IF(AND('Mapa final'!#REF!="Media",'Mapa final'!#REF!="Menor"),CONCATENATE("R6C",'Mapa final'!#REF!),"")</f>
        <v>#REF!</v>
      </c>
      <c r="S31" s="67" t="e">
        <f>IF(AND('Mapa final'!#REF!="Media",'Mapa final'!#REF!="Menor"),CONCATENATE("R6C",'Mapa final'!#REF!),"")</f>
        <v>#REF!</v>
      </c>
      <c r="T31" s="67" t="e">
        <f>IF(AND('Mapa final'!#REF!="Media",'Mapa final'!#REF!="Menor"),CONCATENATE("R6C",'Mapa final'!#REF!),"")</f>
        <v>#REF!</v>
      </c>
      <c r="U31" s="68" t="e">
        <f>IF(AND('Mapa final'!#REF!="Media",'Mapa final'!#REF!="Menor"),CONCATENATE("R6C",'Mapa final'!#REF!),"")</f>
        <v>#REF!</v>
      </c>
      <c r="V31" s="66" t="str">
        <f>IF(AND('Mapa final'!$Z$35="Media",'Mapa final'!$AB$35="Moderado"),CONCATENATE("R6C",'Mapa final'!$P$35),"")</f>
        <v/>
      </c>
      <c r="W31" s="67" t="e">
        <f>IF(AND('Mapa final'!#REF!="Media",'Mapa final'!#REF!="Moderado"),CONCATENATE("R6C",'Mapa final'!#REF!),"")</f>
        <v>#REF!</v>
      </c>
      <c r="X31" s="67" t="e">
        <f>IF(AND('Mapa final'!#REF!="Media",'Mapa final'!#REF!="Moderado"),CONCATENATE("R6C",'Mapa final'!#REF!),"")</f>
        <v>#REF!</v>
      </c>
      <c r="Y31" s="67" t="e">
        <f>IF(AND('Mapa final'!#REF!="Media",'Mapa final'!#REF!="Moderado"),CONCATENATE("R6C",'Mapa final'!#REF!),"")</f>
        <v>#REF!</v>
      </c>
      <c r="Z31" s="67" t="e">
        <f>IF(AND('Mapa final'!#REF!="Media",'Mapa final'!#REF!="Moderado"),CONCATENATE("R6C",'Mapa final'!#REF!),"")</f>
        <v>#REF!</v>
      </c>
      <c r="AA31" s="68" t="e">
        <f>IF(AND('Mapa final'!#REF!="Media",'Mapa final'!#REF!="Moderado"),CONCATENATE("R6C",'Mapa final'!#REF!),"")</f>
        <v>#REF!</v>
      </c>
      <c r="AB31" s="51" t="str">
        <f>IF(AND('Mapa final'!$Z$35="Media",'Mapa final'!$AB$35="Mayor"),CONCATENATE("R6C",'Mapa final'!$P$35),"")</f>
        <v/>
      </c>
      <c r="AC31" s="52" t="e">
        <f>IF(AND('Mapa final'!#REF!="Media",'Mapa final'!#REF!="Mayor"),CONCATENATE("R6C",'Mapa final'!#REF!),"")</f>
        <v>#REF!</v>
      </c>
      <c r="AD31" s="52" t="e">
        <f>IF(AND('Mapa final'!#REF!="Media",'Mapa final'!#REF!="Mayor"),CONCATENATE("R6C",'Mapa final'!#REF!),"")</f>
        <v>#REF!</v>
      </c>
      <c r="AE31" s="52" t="e">
        <f>IF(AND('Mapa final'!#REF!="Media",'Mapa final'!#REF!="Mayor"),CONCATENATE("R6C",'Mapa final'!#REF!),"")</f>
        <v>#REF!</v>
      </c>
      <c r="AF31" s="52" t="e">
        <f>IF(AND('Mapa final'!#REF!="Media",'Mapa final'!#REF!="Mayor"),CONCATENATE("R6C",'Mapa final'!#REF!),"")</f>
        <v>#REF!</v>
      </c>
      <c r="AG31" s="53" t="e">
        <f>IF(AND('Mapa final'!#REF!="Media",'Mapa final'!#REF!="Mayor"),CONCATENATE("R6C",'Mapa final'!#REF!),"")</f>
        <v>#REF!</v>
      </c>
      <c r="AH31" s="54" t="str">
        <f>IF(AND('Mapa final'!$Z$35="Media",'Mapa final'!$AB$35="Catastrófico"),CONCATENATE("R6C",'Mapa final'!$P$35),"")</f>
        <v/>
      </c>
      <c r="AI31" s="55" t="e">
        <f>IF(AND('Mapa final'!#REF!="Media",'Mapa final'!#REF!="Catastrófico"),CONCATENATE("R6C",'Mapa final'!#REF!),"")</f>
        <v>#REF!</v>
      </c>
      <c r="AJ31" s="55" t="e">
        <f>IF(AND('Mapa final'!#REF!="Media",'Mapa final'!#REF!="Catastrófico"),CONCATENATE("R6C",'Mapa final'!#REF!),"")</f>
        <v>#REF!</v>
      </c>
      <c r="AK31" s="55" t="e">
        <f>IF(AND('Mapa final'!#REF!="Media",'Mapa final'!#REF!="Catastrófico"),CONCATENATE("R6C",'Mapa final'!#REF!),"")</f>
        <v>#REF!</v>
      </c>
      <c r="AL31" s="55" t="e">
        <f>IF(AND('Mapa final'!#REF!="Media",'Mapa final'!#REF!="Catastrófico"),CONCATENATE("R6C",'Mapa final'!#REF!),"")</f>
        <v>#REF!</v>
      </c>
      <c r="AM31" s="56" t="e">
        <f>IF(AND('Mapa final'!#REF!="Media",'Mapa final'!#REF!="Catastrófico"),CONCATENATE("R6C",'Mapa final'!#REF!),"")</f>
        <v>#REF!</v>
      </c>
      <c r="AN31" s="82"/>
      <c r="AO31" s="443"/>
      <c r="AP31" s="444"/>
      <c r="AQ31" s="444"/>
      <c r="AR31" s="444"/>
      <c r="AS31" s="444"/>
      <c r="AT31" s="445"/>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315"/>
      <c r="C32" s="315"/>
      <c r="D32" s="316"/>
      <c r="E32" s="414"/>
      <c r="F32" s="413"/>
      <c r="G32" s="413"/>
      <c r="H32" s="413"/>
      <c r="I32" s="429"/>
      <c r="J32" s="66" t="str">
        <f>IF(AND('Mapa final'!$Z$36="Media",'Mapa final'!$AB$36="Leve"),CONCATENATE("R7C",'Mapa final'!$P$36),"")</f>
        <v/>
      </c>
      <c r="K32" s="67" t="e">
        <f>IF(AND('Mapa final'!#REF!="Media",'Mapa final'!#REF!="Leve"),CONCATENATE("R7C",'Mapa final'!#REF!),"")</f>
        <v>#REF!</v>
      </c>
      <c r="L32" s="67" t="e">
        <f>IF(AND('Mapa final'!#REF!="Media",'Mapa final'!#REF!="Leve"),CONCATENATE("R7C",'Mapa final'!#REF!),"")</f>
        <v>#REF!</v>
      </c>
      <c r="M32" s="67" t="e">
        <f>IF(AND('Mapa final'!#REF!="Media",'Mapa final'!#REF!="Leve"),CONCATENATE("R7C",'Mapa final'!#REF!),"")</f>
        <v>#REF!</v>
      </c>
      <c r="N32" s="67" t="e">
        <f>IF(AND('Mapa final'!#REF!="Media",'Mapa final'!#REF!="Leve"),CONCATENATE("R7C",'Mapa final'!#REF!),"")</f>
        <v>#REF!</v>
      </c>
      <c r="O32" s="68" t="e">
        <f>IF(AND('Mapa final'!#REF!="Media",'Mapa final'!#REF!="Leve"),CONCATENATE("R7C",'Mapa final'!#REF!),"")</f>
        <v>#REF!</v>
      </c>
      <c r="P32" s="66" t="str">
        <f>IF(AND('Mapa final'!$Z$36="Media",'Mapa final'!$AB$36="Menor"),CONCATENATE("R7C",'Mapa final'!$P$36),"")</f>
        <v/>
      </c>
      <c r="Q32" s="67" t="e">
        <f>IF(AND('Mapa final'!#REF!="Media",'Mapa final'!#REF!="Menor"),CONCATENATE("R7C",'Mapa final'!#REF!),"")</f>
        <v>#REF!</v>
      </c>
      <c r="R32" s="67" t="e">
        <f>IF(AND('Mapa final'!#REF!="Media",'Mapa final'!#REF!="Menor"),CONCATENATE("R7C",'Mapa final'!#REF!),"")</f>
        <v>#REF!</v>
      </c>
      <c r="S32" s="67" t="e">
        <f>IF(AND('Mapa final'!#REF!="Media",'Mapa final'!#REF!="Menor"),CONCATENATE("R7C",'Mapa final'!#REF!),"")</f>
        <v>#REF!</v>
      </c>
      <c r="T32" s="67" t="e">
        <f>IF(AND('Mapa final'!#REF!="Media",'Mapa final'!#REF!="Menor"),CONCATENATE("R7C",'Mapa final'!#REF!),"")</f>
        <v>#REF!</v>
      </c>
      <c r="U32" s="68" t="e">
        <f>IF(AND('Mapa final'!#REF!="Media",'Mapa final'!#REF!="Menor"),CONCATENATE("R7C",'Mapa final'!#REF!),"")</f>
        <v>#REF!</v>
      </c>
      <c r="V32" s="66" t="str">
        <f>IF(AND('Mapa final'!$Z$36="Media",'Mapa final'!$AB$36="Moderado"),CONCATENATE("R7C",'Mapa final'!$P$36),"")</f>
        <v/>
      </c>
      <c r="W32" s="67" t="e">
        <f>IF(AND('Mapa final'!#REF!="Media",'Mapa final'!#REF!="Moderado"),CONCATENATE("R7C",'Mapa final'!#REF!),"")</f>
        <v>#REF!</v>
      </c>
      <c r="X32" s="67" t="e">
        <f>IF(AND('Mapa final'!#REF!="Media",'Mapa final'!#REF!="Moderado"),CONCATENATE("R7C",'Mapa final'!#REF!),"")</f>
        <v>#REF!</v>
      </c>
      <c r="Y32" s="67" t="e">
        <f>IF(AND('Mapa final'!#REF!="Media",'Mapa final'!#REF!="Moderado"),CONCATENATE("R7C",'Mapa final'!#REF!),"")</f>
        <v>#REF!</v>
      </c>
      <c r="Z32" s="67" t="e">
        <f>IF(AND('Mapa final'!#REF!="Media",'Mapa final'!#REF!="Moderado"),CONCATENATE("R7C",'Mapa final'!#REF!),"")</f>
        <v>#REF!</v>
      </c>
      <c r="AA32" s="68" t="e">
        <f>IF(AND('Mapa final'!#REF!="Media",'Mapa final'!#REF!="Moderado"),CONCATENATE("R7C",'Mapa final'!#REF!),"")</f>
        <v>#REF!</v>
      </c>
      <c r="AB32" s="51" t="str">
        <f>IF(AND('Mapa final'!$Z$36="Media",'Mapa final'!$AB$36="Mayor"),CONCATENATE("R7C",'Mapa final'!$P$36),"")</f>
        <v/>
      </c>
      <c r="AC32" s="52" t="e">
        <f>IF(AND('Mapa final'!#REF!="Media",'Mapa final'!#REF!="Mayor"),CONCATENATE("R7C",'Mapa final'!#REF!),"")</f>
        <v>#REF!</v>
      </c>
      <c r="AD32" s="52" t="e">
        <f>IF(AND('Mapa final'!#REF!="Media",'Mapa final'!#REF!="Mayor"),CONCATENATE("R7C",'Mapa final'!#REF!),"")</f>
        <v>#REF!</v>
      </c>
      <c r="AE32" s="52" t="e">
        <f>IF(AND('Mapa final'!#REF!="Media",'Mapa final'!#REF!="Mayor"),CONCATENATE("R7C",'Mapa final'!#REF!),"")</f>
        <v>#REF!</v>
      </c>
      <c r="AF32" s="52" t="e">
        <f>IF(AND('Mapa final'!#REF!="Media",'Mapa final'!#REF!="Mayor"),CONCATENATE("R7C",'Mapa final'!#REF!),"")</f>
        <v>#REF!</v>
      </c>
      <c r="AG32" s="53" t="e">
        <f>IF(AND('Mapa final'!#REF!="Media",'Mapa final'!#REF!="Mayor"),CONCATENATE("R7C",'Mapa final'!#REF!),"")</f>
        <v>#REF!</v>
      </c>
      <c r="AH32" s="54" t="str">
        <f>IF(AND('Mapa final'!$Z$36="Media",'Mapa final'!$AB$36="Catastrófico"),CONCATENATE("R7C",'Mapa final'!$P$36),"")</f>
        <v/>
      </c>
      <c r="AI32" s="55" t="e">
        <f>IF(AND('Mapa final'!#REF!="Media",'Mapa final'!#REF!="Catastrófico"),CONCATENATE("R7C",'Mapa final'!#REF!),"")</f>
        <v>#REF!</v>
      </c>
      <c r="AJ32" s="55" t="e">
        <f>IF(AND('Mapa final'!#REF!="Media",'Mapa final'!#REF!="Catastrófico"),CONCATENATE("R7C",'Mapa final'!#REF!),"")</f>
        <v>#REF!</v>
      </c>
      <c r="AK32" s="55" t="e">
        <f>IF(AND('Mapa final'!#REF!="Media",'Mapa final'!#REF!="Catastrófico"),CONCATENATE("R7C",'Mapa final'!#REF!),"")</f>
        <v>#REF!</v>
      </c>
      <c r="AL32" s="55" t="e">
        <f>IF(AND('Mapa final'!#REF!="Media",'Mapa final'!#REF!="Catastrófico"),CONCATENATE("R7C",'Mapa final'!#REF!),"")</f>
        <v>#REF!</v>
      </c>
      <c r="AM32" s="56" t="e">
        <f>IF(AND('Mapa final'!#REF!="Media",'Mapa final'!#REF!="Catastrófico"),CONCATENATE("R7C",'Mapa final'!#REF!),"")</f>
        <v>#REF!</v>
      </c>
      <c r="AN32" s="82"/>
      <c r="AO32" s="443"/>
      <c r="AP32" s="444"/>
      <c r="AQ32" s="444"/>
      <c r="AR32" s="444"/>
      <c r="AS32" s="444"/>
      <c r="AT32" s="445"/>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315"/>
      <c r="C33" s="315"/>
      <c r="D33" s="316"/>
      <c r="E33" s="414"/>
      <c r="F33" s="413"/>
      <c r="G33" s="413"/>
      <c r="H33" s="413"/>
      <c r="I33" s="429"/>
      <c r="J33" s="66" t="e">
        <f>IF(AND('Mapa final'!#REF!="Media",'Mapa final'!#REF!="Leve"),CONCATENATE("R8C",'Mapa final'!#REF!),"")</f>
        <v>#REF!</v>
      </c>
      <c r="K33" s="67" t="e">
        <f>IF(AND('Mapa final'!#REF!="Media",'Mapa final'!#REF!="Leve"),CONCATENATE("R8C",'Mapa final'!#REF!),"")</f>
        <v>#REF!</v>
      </c>
      <c r="L33" s="67" t="e">
        <f>IF(AND('Mapa final'!#REF!="Media",'Mapa final'!#REF!="Leve"),CONCATENATE("R8C",'Mapa final'!#REF!),"")</f>
        <v>#REF!</v>
      </c>
      <c r="M33" s="67" t="e">
        <f>IF(AND('Mapa final'!#REF!="Media",'Mapa final'!#REF!="Leve"),CONCATENATE("R8C",'Mapa final'!#REF!),"")</f>
        <v>#REF!</v>
      </c>
      <c r="N33" s="67" t="e">
        <f>IF(AND('Mapa final'!#REF!="Media",'Mapa final'!#REF!="Leve"),CONCATENATE("R8C",'Mapa final'!#REF!),"")</f>
        <v>#REF!</v>
      </c>
      <c r="O33" s="68" t="e">
        <f>IF(AND('Mapa final'!#REF!="Media",'Mapa final'!#REF!="Leve"),CONCATENATE("R8C",'Mapa final'!#REF!),"")</f>
        <v>#REF!</v>
      </c>
      <c r="P33" s="66" t="e">
        <f>IF(AND('Mapa final'!#REF!="Media",'Mapa final'!#REF!="Menor"),CONCATENATE("R8C",'Mapa final'!#REF!),"")</f>
        <v>#REF!</v>
      </c>
      <c r="Q33" s="67" t="e">
        <f>IF(AND('Mapa final'!#REF!="Media",'Mapa final'!#REF!="Menor"),CONCATENATE("R8C",'Mapa final'!#REF!),"")</f>
        <v>#REF!</v>
      </c>
      <c r="R33" s="67" t="e">
        <f>IF(AND('Mapa final'!#REF!="Media",'Mapa final'!#REF!="Menor"),CONCATENATE("R8C",'Mapa final'!#REF!),"")</f>
        <v>#REF!</v>
      </c>
      <c r="S33" s="67" t="e">
        <f>IF(AND('Mapa final'!#REF!="Media",'Mapa final'!#REF!="Menor"),CONCATENATE("R8C",'Mapa final'!#REF!),"")</f>
        <v>#REF!</v>
      </c>
      <c r="T33" s="67" t="e">
        <f>IF(AND('Mapa final'!#REF!="Media",'Mapa final'!#REF!="Menor"),CONCATENATE("R8C",'Mapa final'!#REF!),"")</f>
        <v>#REF!</v>
      </c>
      <c r="U33" s="68" t="e">
        <f>IF(AND('Mapa final'!#REF!="Media",'Mapa final'!#REF!="Menor"),CONCATENATE("R8C",'Mapa final'!#REF!),"")</f>
        <v>#REF!</v>
      </c>
      <c r="V33" s="66" t="e">
        <f>IF(AND('Mapa final'!#REF!="Media",'Mapa final'!#REF!="Moderado"),CONCATENATE("R8C",'Mapa final'!#REF!),"")</f>
        <v>#REF!</v>
      </c>
      <c r="W33" s="67" t="e">
        <f>IF(AND('Mapa final'!#REF!="Media",'Mapa final'!#REF!="Moderado"),CONCATENATE("R8C",'Mapa final'!#REF!),"")</f>
        <v>#REF!</v>
      </c>
      <c r="X33" s="67" t="e">
        <f>IF(AND('Mapa final'!#REF!="Media",'Mapa final'!#REF!="Moderado"),CONCATENATE("R8C",'Mapa final'!#REF!),"")</f>
        <v>#REF!</v>
      </c>
      <c r="Y33" s="67" t="e">
        <f>IF(AND('Mapa final'!#REF!="Media",'Mapa final'!#REF!="Moderado"),CONCATENATE("R8C",'Mapa final'!#REF!),"")</f>
        <v>#REF!</v>
      </c>
      <c r="Z33" s="67" t="e">
        <f>IF(AND('Mapa final'!#REF!="Media",'Mapa final'!#REF!="Moderado"),CONCATENATE("R8C",'Mapa final'!#REF!),"")</f>
        <v>#REF!</v>
      </c>
      <c r="AA33" s="68" t="e">
        <f>IF(AND('Mapa final'!#REF!="Media",'Mapa final'!#REF!="Moderado"),CONCATENATE("R8C",'Mapa final'!#REF!),"")</f>
        <v>#REF!</v>
      </c>
      <c r="AB33" s="51" t="e">
        <f>IF(AND('Mapa final'!#REF!="Media",'Mapa final'!#REF!="Mayor"),CONCATENATE("R8C",'Mapa final'!#REF!),"")</f>
        <v>#REF!</v>
      </c>
      <c r="AC33" s="52" t="e">
        <f>IF(AND('Mapa final'!#REF!="Media",'Mapa final'!#REF!="Mayor"),CONCATENATE("R8C",'Mapa final'!#REF!),"")</f>
        <v>#REF!</v>
      </c>
      <c r="AD33" s="52" t="e">
        <f>IF(AND('Mapa final'!#REF!="Media",'Mapa final'!#REF!="Mayor"),CONCATENATE("R8C",'Mapa final'!#REF!),"")</f>
        <v>#REF!</v>
      </c>
      <c r="AE33" s="52" t="e">
        <f>IF(AND('Mapa final'!#REF!="Media",'Mapa final'!#REF!="Mayor"),CONCATENATE("R8C",'Mapa final'!#REF!),"")</f>
        <v>#REF!</v>
      </c>
      <c r="AF33" s="52" t="e">
        <f>IF(AND('Mapa final'!#REF!="Media",'Mapa final'!#REF!="Mayor"),CONCATENATE("R8C",'Mapa final'!#REF!),"")</f>
        <v>#REF!</v>
      </c>
      <c r="AG33" s="53" t="e">
        <f>IF(AND('Mapa final'!#REF!="Media",'Mapa final'!#REF!="Mayor"),CONCATENATE("R8C",'Mapa final'!#REF!),"")</f>
        <v>#REF!</v>
      </c>
      <c r="AH33" s="54" t="e">
        <f>IF(AND('Mapa final'!#REF!="Media",'Mapa final'!#REF!="Catastrófico"),CONCATENATE("R8C",'Mapa final'!#REF!),"")</f>
        <v>#REF!</v>
      </c>
      <c r="AI33" s="55" t="e">
        <f>IF(AND('Mapa final'!#REF!="Media",'Mapa final'!#REF!="Catastrófico"),CONCATENATE("R8C",'Mapa final'!#REF!),"")</f>
        <v>#REF!</v>
      </c>
      <c r="AJ33" s="55" t="e">
        <f>IF(AND('Mapa final'!#REF!="Media",'Mapa final'!#REF!="Catastrófico"),CONCATENATE("R8C",'Mapa final'!#REF!),"")</f>
        <v>#REF!</v>
      </c>
      <c r="AK33" s="55" t="e">
        <f>IF(AND('Mapa final'!#REF!="Media",'Mapa final'!#REF!="Catastrófico"),CONCATENATE("R8C",'Mapa final'!#REF!),"")</f>
        <v>#REF!</v>
      </c>
      <c r="AL33" s="55" t="e">
        <f>IF(AND('Mapa final'!#REF!="Media",'Mapa final'!#REF!="Catastrófico"),CONCATENATE("R8C",'Mapa final'!#REF!),"")</f>
        <v>#REF!</v>
      </c>
      <c r="AM33" s="56" t="e">
        <f>IF(AND('Mapa final'!#REF!="Media",'Mapa final'!#REF!="Catastrófico"),CONCATENATE("R8C",'Mapa final'!#REF!),"")</f>
        <v>#REF!</v>
      </c>
      <c r="AN33" s="82"/>
      <c r="AO33" s="443"/>
      <c r="AP33" s="444"/>
      <c r="AQ33" s="444"/>
      <c r="AR33" s="444"/>
      <c r="AS33" s="444"/>
      <c r="AT33" s="445"/>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315"/>
      <c r="C34" s="315"/>
      <c r="D34" s="316"/>
      <c r="E34" s="414"/>
      <c r="F34" s="413"/>
      <c r="G34" s="413"/>
      <c r="H34" s="413"/>
      <c r="I34" s="429"/>
      <c r="J34" s="66" t="str">
        <f>IF(AND('Mapa final'!$Z$37="Media",'Mapa final'!$AB$37="Leve"),CONCATENATE("R9C",'Mapa final'!$P$37),"")</f>
        <v/>
      </c>
      <c r="K34" s="67" t="e">
        <f>IF(AND('Mapa final'!#REF!="Media",'Mapa final'!#REF!="Leve"),CONCATENATE("R9C",'Mapa final'!#REF!),"")</f>
        <v>#REF!</v>
      </c>
      <c r="L34" s="67" t="e">
        <f>IF(AND('Mapa final'!#REF!="Media",'Mapa final'!#REF!="Leve"),CONCATENATE("R9C",'Mapa final'!#REF!),"")</f>
        <v>#REF!</v>
      </c>
      <c r="M34" s="67" t="e">
        <f>IF(AND('Mapa final'!#REF!="Media",'Mapa final'!#REF!="Leve"),CONCATENATE("R9C",'Mapa final'!#REF!),"")</f>
        <v>#REF!</v>
      </c>
      <c r="N34" s="67" t="e">
        <f>IF(AND('Mapa final'!#REF!="Media",'Mapa final'!#REF!="Leve"),CONCATENATE("R9C",'Mapa final'!#REF!),"")</f>
        <v>#REF!</v>
      </c>
      <c r="O34" s="68" t="e">
        <f>IF(AND('Mapa final'!#REF!="Media",'Mapa final'!#REF!="Leve"),CONCATENATE("R9C",'Mapa final'!#REF!),"")</f>
        <v>#REF!</v>
      </c>
      <c r="P34" s="66" t="str">
        <f>IF(AND('Mapa final'!$Z$37="Media",'Mapa final'!$AB$37="Menor"),CONCATENATE("R9C",'Mapa final'!$P$37),"")</f>
        <v/>
      </c>
      <c r="Q34" s="67" t="e">
        <f>IF(AND('Mapa final'!#REF!="Media",'Mapa final'!#REF!="Menor"),CONCATENATE("R9C",'Mapa final'!#REF!),"")</f>
        <v>#REF!</v>
      </c>
      <c r="R34" s="67" t="e">
        <f>IF(AND('Mapa final'!#REF!="Media",'Mapa final'!#REF!="Menor"),CONCATENATE("R9C",'Mapa final'!#REF!),"")</f>
        <v>#REF!</v>
      </c>
      <c r="S34" s="67" t="e">
        <f>IF(AND('Mapa final'!#REF!="Media",'Mapa final'!#REF!="Menor"),CONCATENATE("R9C",'Mapa final'!#REF!),"")</f>
        <v>#REF!</v>
      </c>
      <c r="T34" s="67" t="e">
        <f>IF(AND('Mapa final'!#REF!="Media",'Mapa final'!#REF!="Menor"),CONCATENATE("R9C",'Mapa final'!#REF!),"")</f>
        <v>#REF!</v>
      </c>
      <c r="U34" s="68" t="e">
        <f>IF(AND('Mapa final'!#REF!="Media",'Mapa final'!#REF!="Menor"),CONCATENATE("R9C",'Mapa final'!#REF!),"")</f>
        <v>#REF!</v>
      </c>
      <c r="V34" s="66" t="str">
        <f>IF(AND('Mapa final'!$Z$37="Media",'Mapa final'!$AB$37="Moderado"),CONCATENATE("R9C",'Mapa final'!$P$37),"")</f>
        <v/>
      </c>
      <c r="W34" s="67" t="e">
        <f>IF(AND('Mapa final'!#REF!="Media",'Mapa final'!#REF!="Moderado"),CONCATENATE("R9C",'Mapa final'!#REF!),"")</f>
        <v>#REF!</v>
      </c>
      <c r="X34" s="67" t="e">
        <f>IF(AND('Mapa final'!#REF!="Media",'Mapa final'!#REF!="Moderado"),CONCATENATE("R9C",'Mapa final'!#REF!),"")</f>
        <v>#REF!</v>
      </c>
      <c r="Y34" s="67" t="e">
        <f>IF(AND('Mapa final'!#REF!="Media",'Mapa final'!#REF!="Moderado"),CONCATENATE("R9C",'Mapa final'!#REF!),"")</f>
        <v>#REF!</v>
      </c>
      <c r="Z34" s="67" t="e">
        <f>IF(AND('Mapa final'!#REF!="Media",'Mapa final'!#REF!="Moderado"),CONCATENATE("R9C",'Mapa final'!#REF!),"")</f>
        <v>#REF!</v>
      </c>
      <c r="AA34" s="68" t="e">
        <f>IF(AND('Mapa final'!#REF!="Media",'Mapa final'!#REF!="Moderado"),CONCATENATE("R9C",'Mapa final'!#REF!),"")</f>
        <v>#REF!</v>
      </c>
      <c r="AB34" s="51" t="str">
        <f>IF(AND('Mapa final'!$Z$37="Media",'Mapa final'!$AB$37="Mayor"),CONCATENATE("R9C",'Mapa final'!$P$37),"")</f>
        <v/>
      </c>
      <c r="AC34" s="52" t="e">
        <f>IF(AND('Mapa final'!#REF!="Media",'Mapa final'!#REF!="Mayor"),CONCATENATE("R9C",'Mapa final'!#REF!),"")</f>
        <v>#REF!</v>
      </c>
      <c r="AD34" s="52" t="e">
        <f>IF(AND('Mapa final'!#REF!="Media",'Mapa final'!#REF!="Mayor"),CONCATENATE("R9C",'Mapa final'!#REF!),"")</f>
        <v>#REF!</v>
      </c>
      <c r="AE34" s="52" t="e">
        <f>IF(AND('Mapa final'!#REF!="Media",'Mapa final'!#REF!="Mayor"),CONCATENATE("R9C",'Mapa final'!#REF!),"")</f>
        <v>#REF!</v>
      </c>
      <c r="AF34" s="52" t="e">
        <f>IF(AND('Mapa final'!#REF!="Media",'Mapa final'!#REF!="Mayor"),CONCATENATE("R9C",'Mapa final'!#REF!),"")</f>
        <v>#REF!</v>
      </c>
      <c r="AG34" s="53" t="e">
        <f>IF(AND('Mapa final'!#REF!="Media",'Mapa final'!#REF!="Mayor"),CONCATENATE("R9C",'Mapa final'!#REF!),"")</f>
        <v>#REF!</v>
      </c>
      <c r="AH34" s="54" t="str">
        <f>IF(AND('Mapa final'!$Z$37="Media",'Mapa final'!$AB$37="Catastrófico"),CONCATENATE("R9C",'Mapa final'!$P$37),"")</f>
        <v/>
      </c>
      <c r="AI34" s="55" t="e">
        <f>IF(AND('Mapa final'!#REF!="Media",'Mapa final'!#REF!="Catastrófico"),CONCATENATE("R9C",'Mapa final'!#REF!),"")</f>
        <v>#REF!</v>
      </c>
      <c r="AJ34" s="55" t="e">
        <f>IF(AND('Mapa final'!#REF!="Media",'Mapa final'!#REF!="Catastrófico"),CONCATENATE("R9C",'Mapa final'!#REF!),"")</f>
        <v>#REF!</v>
      </c>
      <c r="AK34" s="55" t="e">
        <f>IF(AND('Mapa final'!#REF!="Media",'Mapa final'!#REF!="Catastrófico"),CONCATENATE("R9C",'Mapa final'!#REF!),"")</f>
        <v>#REF!</v>
      </c>
      <c r="AL34" s="55" t="e">
        <f>IF(AND('Mapa final'!#REF!="Media",'Mapa final'!#REF!="Catastrófico"),CONCATENATE("R9C",'Mapa final'!#REF!),"")</f>
        <v>#REF!</v>
      </c>
      <c r="AM34" s="56" t="e">
        <f>IF(AND('Mapa final'!#REF!="Media",'Mapa final'!#REF!="Catastrófico"),CONCATENATE("R9C",'Mapa final'!#REF!),"")</f>
        <v>#REF!</v>
      </c>
      <c r="AN34" s="82"/>
      <c r="AO34" s="443"/>
      <c r="AP34" s="444"/>
      <c r="AQ34" s="444"/>
      <c r="AR34" s="444"/>
      <c r="AS34" s="444"/>
      <c r="AT34" s="445"/>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315"/>
      <c r="C35" s="315"/>
      <c r="D35" s="316"/>
      <c r="E35" s="415"/>
      <c r="F35" s="416"/>
      <c r="G35" s="416"/>
      <c r="H35" s="416"/>
      <c r="I35" s="430"/>
      <c r="J35" s="66" t="str">
        <f>IF(AND('Mapa final'!$Z$38="Media",'Mapa final'!$AB$38="Leve"),CONCATENATE("R10C",'Mapa final'!$P$38),"")</f>
        <v/>
      </c>
      <c r="K35" s="67" t="e">
        <f>IF(AND('Mapa final'!#REF!="Media",'Mapa final'!#REF!="Leve"),CONCATENATE("R10C",'Mapa final'!#REF!),"")</f>
        <v>#REF!</v>
      </c>
      <c r="L35" s="67" t="e">
        <f>IF(AND('Mapa final'!#REF!="Media",'Mapa final'!#REF!="Leve"),CONCATENATE("R10C",'Mapa final'!#REF!),"")</f>
        <v>#REF!</v>
      </c>
      <c r="M35" s="67" t="e">
        <f>IF(AND('Mapa final'!#REF!="Media",'Mapa final'!#REF!="Leve"),CONCATENATE("R10C",'Mapa final'!#REF!),"")</f>
        <v>#REF!</v>
      </c>
      <c r="N35" s="67" t="e">
        <f>IF(AND('Mapa final'!#REF!="Media",'Mapa final'!#REF!="Leve"),CONCATENATE("R10C",'Mapa final'!#REF!),"")</f>
        <v>#REF!</v>
      </c>
      <c r="O35" s="68" t="e">
        <f>IF(AND('Mapa final'!#REF!="Media",'Mapa final'!#REF!="Leve"),CONCATENATE("R10C",'Mapa final'!#REF!),"")</f>
        <v>#REF!</v>
      </c>
      <c r="P35" s="66" t="str">
        <f>IF(AND('Mapa final'!$Z$38="Media",'Mapa final'!$AB$38="Menor"),CONCATENATE("R10C",'Mapa final'!$P$38),"")</f>
        <v/>
      </c>
      <c r="Q35" s="67" t="e">
        <f>IF(AND('Mapa final'!#REF!="Media",'Mapa final'!#REF!="Menor"),CONCATENATE("R10C",'Mapa final'!#REF!),"")</f>
        <v>#REF!</v>
      </c>
      <c r="R35" s="67" t="e">
        <f>IF(AND('Mapa final'!#REF!="Media",'Mapa final'!#REF!="Menor"),CONCATENATE("R10C",'Mapa final'!#REF!),"")</f>
        <v>#REF!</v>
      </c>
      <c r="S35" s="67" t="e">
        <f>IF(AND('Mapa final'!#REF!="Media",'Mapa final'!#REF!="Menor"),CONCATENATE("R10C",'Mapa final'!#REF!),"")</f>
        <v>#REF!</v>
      </c>
      <c r="T35" s="67" t="e">
        <f>IF(AND('Mapa final'!#REF!="Media",'Mapa final'!#REF!="Menor"),CONCATENATE("R10C",'Mapa final'!#REF!),"")</f>
        <v>#REF!</v>
      </c>
      <c r="U35" s="68" t="e">
        <f>IF(AND('Mapa final'!#REF!="Media",'Mapa final'!#REF!="Menor"),CONCATENATE("R10C",'Mapa final'!#REF!),"")</f>
        <v>#REF!</v>
      </c>
      <c r="V35" s="66" t="str">
        <f>IF(AND('Mapa final'!$Z$38="Media",'Mapa final'!$AB$38="Moderado"),CONCATENATE("R10C",'Mapa final'!$P$38),"")</f>
        <v>R10C1</v>
      </c>
      <c r="W35" s="67" t="e">
        <f>IF(AND('Mapa final'!#REF!="Media",'Mapa final'!#REF!="Moderado"),CONCATENATE("R10C",'Mapa final'!#REF!),"")</f>
        <v>#REF!</v>
      </c>
      <c r="X35" s="67" t="e">
        <f>IF(AND('Mapa final'!#REF!="Media",'Mapa final'!#REF!="Moderado"),CONCATENATE("R10C",'Mapa final'!#REF!),"")</f>
        <v>#REF!</v>
      </c>
      <c r="Y35" s="67" t="e">
        <f>IF(AND('Mapa final'!#REF!="Media",'Mapa final'!#REF!="Moderado"),CONCATENATE("R10C",'Mapa final'!#REF!),"")</f>
        <v>#REF!</v>
      </c>
      <c r="Z35" s="67" t="e">
        <f>IF(AND('Mapa final'!#REF!="Media",'Mapa final'!#REF!="Moderado"),CONCATENATE("R10C",'Mapa final'!#REF!),"")</f>
        <v>#REF!</v>
      </c>
      <c r="AA35" s="68" t="e">
        <f>IF(AND('Mapa final'!#REF!="Media",'Mapa final'!#REF!="Moderado"),CONCATENATE("R10C",'Mapa final'!#REF!),"")</f>
        <v>#REF!</v>
      </c>
      <c r="AB35" s="57" t="str">
        <f>IF(AND('Mapa final'!$Z$38="Media",'Mapa final'!$AB$38="Mayor"),CONCATENATE("R10C",'Mapa final'!$P$38),"")</f>
        <v/>
      </c>
      <c r="AC35" s="58" t="e">
        <f>IF(AND('Mapa final'!#REF!="Media",'Mapa final'!#REF!="Mayor"),CONCATENATE("R10C",'Mapa final'!#REF!),"")</f>
        <v>#REF!</v>
      </c>
      <c r="AD35" s="58" t="e">
        <f>IF(AND('Mapa final'!#REF!="Media",'Mapa final'!#REF!="Mayor"),CONCATENATE("R10C",'Mapa final'!#REF!),"")</f>
        <v>#REF!</v>
      </c>
      <c r="AE35" s="58" t="e">
        <f>IF(AND('Mapa final'!#REF!="Media",'Mapa final'!#REF!="Mayor"),CONCATENATE("R10C",'Mapa final'!#REF!),"")</f>
        <v>#REF!</v>
      </c>
      <c r="AF35" s="58" t="e">
        <f>IF(AND('Mapa final'!#REF!="Media",'Mapa final'!#REF!="Mayor"),CONCATENATE("R10C",'Mapa final'!#REF!),"")</f>
        <v>#REF!</v>
      </c>
      <c r="AG35" s="59" t="e">
        <f>IF(AND('Mapa final'!#REF!="Media",'Mapa final'!#REF!="Mayor"),CONCATENATE("R10C",'Mapa final'!#REF!),"")</f>
        <v>#REF!</v>
      </c>
      <c r="AH35" s="60" t="str">
        <f>IF(AND('Mapa final'!$Z$38="Media",'Mapa final'!$AB$38="Catastrófico"),CONCATENATE("R10C",'Mapa final'!$P$38),"")</f>
        <v/>
      </c>
      <c r="AI35" s="61" t="e">
        <f>IF(AND('Mapa final'!#REF!="Media",'Mapa final'!#REF!="Catastrófico"),CONCATENATE("R10C",'Mapa final'!#REF!),"")</f>
        <v>#REF!</v>
      </c>
      <c r="AJ35" s="61" t="e">
        <f>IF(AND('Mapa final'!#REF!="Media",'Mapa final'!#REF!="Catastrófico"),CONCATENATE("R10C",'Mapa final'!#REF!),"")</f>
        <v>#REF!</v>
      </c>
      <c r="AK35" s="61" t="e">
        <f>IF(AND('Mapa final'!#REF!="Media",'Mapa final'!#REF!="Catastrófico"),CONCATENATE("R10C",'Mapa final'!#REF!),"")</f>
        <v>#REF!</v>
      </c>
      <c r="AL35" s="61" t="e">
        <f>IF(AND('Mapa final'!#REF!="Media",'Mapa final'!#REF!="Catastrófico"),CONCATENATE("R10C",'Mapa final'!#REF!),"")</f>
        <v>#REF!</v>
      </c>
      <c r="AM35" s="62" t="e">
        <f>IF(AND('Mapa final'!#REF!="Media",'Mapa final'!#REF!="Catastrófico"),CONCATENATE("R10C",'Mapa final'!#REF!),"")</f>
        <v>#REF!</v>
      </c>
      <c r="AN35" s="82"/>
      <c r="AO35" s="446"/>
      <c r="AP35" s="447"/>
      <c r="AQ35" s="447"/>
      <c r="AR35" s="447"/>
      <c r="AS35" s="447"/>
      <c r="AT35" s="448"/>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315"/>
      <c r="C36" s="315"/>
      <c r="D36" s="316"/>
      <c r="E36" s="410" t="s">
        <v>113</v>
      </c>
      <c r="F36" s="411"/>
      <c r="G36" s="411"/>
      <c r="H36" s="411"/>
      <c r="I36" s="411"/>
      <c r="J36" s="72" t="str">
        <f>IF(AND('Mapa final'!$Z$10="Baja",'Mapa final'!$AB$10="Leve"),CONCATENATE("R1C",'Mapa final'!$P$10),"")</f>
        <v>R1C1</v>
      </c>
      <c r="K36" s="73" t="str">
        <f>IF(AND('Mapa final'!$Z$11="Baja",'Mapa final'!$AB$11="Leve"),CONCATENATE("R1C",'Mapa final'!$P$11),"")</f>
        <v/>
      </c>
      <c r="L36" s="73" t="str">
        <f>IF(AND('Mapa final'!$Z$12="Baja",'Mapa final'!$AB$12="Leve"),CONCATENATE("R1C",'Mapa final'!$P$12),"")</f>
        <v/>
      </c>
      <c r="M36" s="73" t="e">
        <f>IF(AND('Mapa final'!#REF!="Baja",'Mapa final'!#REF!="Leve"),CONCATENATE("R1C",'Mapa final'!#REF!),"")</f>
        <v>#REF!</v>
      </c>
      <c r="N36" s="73" t="e">
        <f>IF(AND('Mapa final'!#REF!="Baja",'Mapa final'!#REF!="Leve"),CONCATENATE("R1C",'Mapa final'!#REF!),"")</f>
        <v>#REF!</v>
      </c>
      <c r="O36" s="74" t="e">
        <f>IF(AND('Mapa final'!#REF!="Baja",'Mapa final'!#REF!="Leve"),CONCATENATE("R1C",'Mapa final'!#REF!),"")</f>
        <v>#REF!</v>
      </c>
      <c r="P36" s="63" t="str">
        <f>IF(AND('Mapa final'!$Z$10="Baja",'Mapa final'!$AB$10="Menor"),CONCATENATE("R1C",'Mapa final'!$P$10),"")</f>
        <v/>
      </c>
      <c r="Q36" s="64" t="str">
        <f>IF(AND('Mapa final'!$Z$11="Baja",'Mapa final'!$AB$11="Menor"),CONCATENATE("R1C",'Mapa final'!$P$11),"")</f>
        <v/>
      </c>
      <c r="R36" s="64" t="str">
        <f>IF(AND('Mapa final'!$Z$12="Baja",'Mapa final'!$AB$12="Menor"),CONCATENATE("R1C",'Mapa final'!$P$12),"")</f>
        <v/>
      </c>
      <c r="S36" s="64" t="e">
        <f>IF(AND('Mapa final'!#REF!="Baja",'Mapa final'!#REF!="Menor"),CONCATENATE("R1C",'Mapa final'!#REF!),"")</f>
        <v>#REF!</v>
      </c>
      <c r="T36" s="64" t="e">
        <f>IF(AND('Mapa final'!#REF!="Baja",'Mapa final'!#REF!="Menor"),CONCATENATE("R1C",'Mapa final'!#REF!),"")</f>
        <v>#REF!</v>
      </c>
      <c r="U36" s="65" t="e">
        <f>IF(AND('Mapa final'!#REF!="Baja",'Mapa final'!#REF!="Menor"),CONCATENATE("R1C",'Mapa final'!#REF!),"")</f>
        <v>#REF!</v>
      </c>
      <c r="V36" s="63" t="str">
        <f>IF(AND('Mapa final'!$Z$10="Baja",'Mapa final'!$AB$10="Moderado"),CONCATENATE("R1C",'Mapa final'!$P$10),"")</f>
        <v/>
      </c>
      <c r="W36" s="64" t="str">
        <f>IF(AND('Mapa final'!$Z$11="Baja",'Mapa final'!$AB$11="Moderado"),CONCATENATE("R1C",'Mapa final'!$P$11),"")</f>
        <v/>
      </c>
      <c r="X36" s="64" t="str">
        <f>IF(AND('Mapa final'!$Z$12="Baja",'Mapa final'!$AB$12="Moderado"),CONCATENATE("R1C",'Mapa final'!$P$12),"")</f>
        <v/>
      </c>
      <c r="Y36" s="64" t="e">
        <f>IF(AND('Mapa final'!#REF!="Baja",'Mapa final'!#REF!="Moderado"),CONCATENATE("R1C",'Mapa final'!#REF!),"")</f>
        <v>#REF!</v>
      </c>
      <c r="Z36" s="64" t="e">
        <f>IF(AND('Mapa final'!#REF!="Baja",'Mapa final'!#REF!="Moderado"),CONCATENATE("R1C",'Mapa final'!#REF!),"")</f>
        <v>#REF!</v>
      </c>
      <c r="AA36" s="65" t="e">
        <f>IF(AND('Mapa final'!#REF!="Baja",'Mapa final'!#REF!="Moderado"),CONCATENATE("R1C",'Mapa final'!#REF!),"")</f>
        <v>#REF!</v>
      </c>
      <c r="AB36" s="45" t="str">
        <f>IF(AND('Mapa final'!$Z$10="Baja",'Mapa final'!$AB$10="Mayor"),CONCATENATE("R1C",'Mapa final'!$P$10),"")</f>
        <v/>
      </c>
      <c r="AC36" s="46" t="str">
        <f>IF(AND('Mapa final'!$Z$11="Baja",'Mapa final'!$AB$11="Mayor"),CONCATENATE("R1C",'Mapa final'!$P$11),"")</f>
        <v/>
      </c>
      <c r="AD36" s="46" t="str">
        <f>IF(AND('Mapa final'!$Z$12="Baja",'Mapa final'!$AB$12="Mayor"),CONCATENATE("R1C",'Mapa final'!$P$12),"")</f>
        <v/>
      </c>
      <c r="AE36" s="46" t="e">
        <f>IF(AND('Mapa final'!#REF!="Baja",'Mapa final'!#REF!="Mayor"),CONCATENATE("R1C",'Mapa final'!#REF!),"")</f>
        <v>#REF!</v>
      </c>
      <c r="AF36" s="46" t="e">
        <f>IF(AND('Mapa final'!#REF!="Baja",'Mapa final'!#REF!="Mayor"),CONCATENATE("R1C",'Mapa final'!#REF!),"")</f>
        <v>#REF!</v>
      </c>
      <c r="AG36" s="47" t="e">
        <f>IF(AND('Mapa final'!#REF!="Baja",'Mapa final'!#REF!="Mayor"),CONCATENATE("R1C",'Mapa final'!#REF!),"")</f>
        <v>#REF!</v>
      </c>
      <c r="AH36" s="48" t="str">
        <f>IF(AND('Mapa final'!$Z$10="Baja",'Mapa final'!$AB$10="Catastrófico"),CONCATENATE("R1C",'Mapa final'!$P$10),"")</f>
        <v/>
      </c>
      <c r="AI36" s="49" t="str">
        <f>IF(AND('Mapa final'!$Z$11="Baja",'Mapa final'!$AB$11="Catastrófico"),CONCATENATE("R1C",'Mapa final'!$P$11),"")</f>
        <v/>
      </c>
      <c r="AJ36" s="49" t="str">
        <f>IF(AND('Mapa final'!$Z$12="Baja",'Mapa final'!$AB$12="Catastrófico"),CONCATENATE("R1C",'Mapa final'!$P$12),"")</f>
        <v/>
      </c>
      <c r="AK36" s="49" t="e">
        <f>IF(AND('Mapa final'!#REF!="Baja",'Mapa final'!#REF!="Catastrófico"),CONCATENATE("R1C",'Mapa final'!#REF!),"")</f>
        <v>#REF!</v>
      </c>
      <c r="AL36" s="49" t="e">
        <f>IF(AND('Mapa final'!#REF!="Baja",'Mapa final'!#REF!="Catastrófico"),CONCATENATE("R1C",'Mapa final'!#REF!),"")</f>
        <v>#REF!</v>
      </c>
      <c r="AM36" s="50" t="e">
        <f>IF(AND('Mapa final'!#REF!="Baja",'Mapa final'!#REF!="Catastrófico"),CONCATENATE("R1C",'Mapa final'!#REF!),"")</f>
        <v>#REF!</v>
      </c>
      <c r="AN36" s="82"/>
      <c r="AO36" s="431" t="s">
        <v>81</v>
      </c>
      <c r="AP36" s="432"/>
      <c r="AQ36" s="432"/>
      <c r="AR36" s="432"/>
      <c r="AS36" s="432"/>
      <c r="AT36" s="433"/>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315"/>
      <c r="C37" s="315"/>
      <c r="D37" s="316"/>
      <c r="E37" s="412"/>
      <c r="F37" s="413"/>
      <c r="G37" s="413"/>
      <c r="H37" s="413"/>
      <c r="I37" s="413"/>
      <c r="J37" s="75" t="str">
        <f>IF(AND('Mapa final'!$Z$13="Baja",'Mapa final'!$AB$13="Leve"),CONCATENATE("R2C",'Mapa final'!$P$13),"")</f>
        <v/>
      </c>
      <c r="K37" s="76" t="str">
        <f>IF(AND('Mapa final'!$Z$14="Baja",'Mapa final'!$AB$14="Leve"),CONCATENATE("R2C",'Mapa final'!$P$14),"")</f>
        <v/>
      </c>
      <c r="L37" s="76" t="str">
        <f>IF(AND('Mapa final'!$Z$15="Baja",'Mapa final'!$AB$15="Leve"),CONCATENATE("R2C",'Mapa final'!$P$15),"")</f>
        <v/>
      </c>
      <c r="M37" s="76" t="str">
        <f>IF(AND('Mapa final'!$Z$16="Baja",'Mapa final'!$AB$16="Leve"),CONCATENATE("R2C",'Mapa final'!$P$16),"")</f>
        <v/>
      </c>
      <c r="N37" s="76" t="e">
        <f>IF(AND('Mapa final'!#REF!="Baja",'Mapa final'!#REF!="Leve"),CONCATENATE("R2C",'Mapa final'!#REF!),"")</f>
        <v>#REF!</v>
      </c>
      <c r="O37" s="77" t="e">
        <f>IF(AND('Mapa final'!#REF!="Baja",'Mapa final'!#REF!="Leve"),CONCATENATE("R2C",'Mapa final'!#REF!),"")</f>
        <v>#REF!</v>
      </c>
      <c r="P37" s="66" t="str">
        <f>IF(AND('Mapa final'!$Z$13="Baja",'Mapa final'!$AB$13="Menor"),CONCATENATE("R2C",'Mapa final'!$P$13),"")</f>
        <v/>
      </c>
      <c r="Q37" s="67" t="str">
        <f>IF(AND('Mapa final'!$Z$14="Baja",'Mapa final'!$AB$14="Menor"),CONCATENATE("R2C",'Mapa final'!$P$14),"")</f>
        <v/>
      </c>
      <c r="R37" s="67" t="str">
        <f>IF(AND('Mapa final'!$Z$15="Baja",'Mapa final'!$AB$15="Menor"),CONCATENATE("R2C",'Mapa final'!$P$15),"")</f>
        <v/>
      </c>
      <c r="S37" s="67" t="str">
        <f>IF(AND('Mapa final'!$Z$16="Baja",'Mapa final'!$AB$16="Menor"),CONCATENATE("R2C",'Mapa final'!$P$16),"")</f>
        <v/>
      </c>
      <c r="T37" s="67" t="e">
        <f>IF(AND('Mapa final'!#REF!="Baja",'Mapa final'!#REF!="Menor"),CONCATENATE("R2C",'Mapa final'!#REF!),"")</f>
        <v>#REF!</v>
      </c>
      <c r="U37" s="68" t="e">
        <f>IF(AND('Mapa final'!#REF!="Baja",'Mapa final'!#REF!="Menor"),CONCATENATE("R2C",'Mapa final'!#REF!),"")</f>
        <v>#REF!</v>
      </c>
      <c r="V37" s="66" t="str">
        <f>IF(AND('Mapa final'!$Z$13="Baja",'Mapa final'!$AB$13="Moderado"),CONCATENATE("R2C",'Mapa final'!$P$13),"")</f>
        <v/>
      </c>
      <c r="W37" s="67" t="str">
        <f>IF(AND('Mapa final'!$Z$14="Baja",'Mapa final'!$AB$14="Moderado"),CONCATENATE("R2C",'Mapa final'!$P$14),"")</f>
        <v/>
      </c>
      <c r="X37" s="67" t="str">
        <f>IF(AND('Mapa final'!$Z$15="Baja",'Mapa final'!$AB$15="Moderado"),CONCATENATE("R2C",'Mapa final'!$P$15),"")</f>
        <v/>
      </c>
      <c r="Y37" s="67" t="str">
        <f>IF(AND('Mapa final'!$Z$16="Baja",'Mapa final'!$AB$16="Moderado"),CONCATENATE("R2C",'Mapa final'!$P$16),"")</f>
        <v/>
      </c>
      <c r="Z37" s="67" t="e">
        <f>IF(AND('Mapa final'!#REF!="Baja",'Mapa final'!#REF!="Moderado"),CONCATENATE("R2C",'Mapa final'!#REF!),"")</f>
        <v>#REF!</v>
      </c>
      <c r="AA37" s="68" t="e">
        <f>IF(AND('Mapa final'!#REF!="Baja",'Mapa final'!#REF!="Moderado"),CONCATENATE("R2C",'Mapa final'!#REF!),"")</f>
        <v>#REF!</v>
      </c>
      <c r="AB37" s="51" t="str">
        <f>IF(AND('Mapa final'!$Z$13="Baja",'Mapa final'!$AB$13="Mayor"),CONCATENATE("R2C",'Mapa final'!$P$13),"")</f>
        <v/>
      </c>
      <c r="AC37" s="52" t="str">
        <f>IF(AND('Mapa final'!$Z$14="Baja",'Mapa final'!$AB$14="Mayor"),CONCATENATE("R2C",'Mapa final'!$P$14),"")</f>
        <v/>
      </c>
      <c r="AD37" s="52" t="str">
        <f>IF(AND('Mapa final'!$Z$15="Baja",'Mapa final'!$AB$15="Mayor"),CONCATENATE("R2C",'Mapa final'!$P$15),"")</f>
        <v/>
      </c>
      <c r="AE37" s="52" t="str">
        <f>IF(AND('Mapa final'!$Z$16="Baja",'Mapa final'!$AB$16="Mayor"),CONCATENATE("R2C",'Mapa final'!$P$16),"")</f>
        <v/>
      </c>
      <c r="AF37" s="52" t="e">
        <f>IF(AND('Mapa final'!#REF!="Baja",'Mapa final'!#REF!="Mayor"),CONCATENATE("R2C",'Mapa final'!#REF!),"")</f>
        <v>#REF!</v>
      </c>
      <c r="AG37" s="53" t="e">
        <f>IF(AND('Mapa final'!#REF!="Baja",'Mapa final'!#REF!="Mayor"),CONCATENATE("R2C",'Mapa final'!#REF!),"")</f>
        <v>#REF!</v>
      </c>
      <c r="AH37" s="54" t="str">
        <f>IF(AND('Mapa final'!$Z$13="Baja",'Mapa final'!$AB$13="Catastrófico"),CONCATENATE("R2C",'Mapa final'!$P$13),"")</f>
        <v/>
      </c>
      <c r="AI37" s="55" t="str">
        <f>IF(AND('Mapa final'!$Z$14="Baja",'Mapa final'!$AB$14="Catastrófico"),CONCATENATE("R2C",'Mapa final'!$P$14),"")</f>
        <v/>
      </c>
      <c r="AJ37" s="55" t="str">
        <f>IF(AND('Mapa final'!$Z$15="Baja",'Mapa final'!$AB$15="Catastrófico"),CONCATENATE("R2C",'Mapa final'!$P$15),"")</f>
        <v/>
      </c>
      <c r="AK37" s="55" t="str">
        <f>IF(AND('Mapa final'!$Z$16="Baja",'Mapa final'!$AB$16="Catastrófico"),CONCATENATE("R2C",'Mapa final'!$P$16),"")</f>
        <v/>
      </c>
      <c r="AL37" s="55" t="e">
        <f>IF(AND('Mapa final'!#REF!="Baja",'Mapa final'!#REF!="Catastrófico"),CONCATENATE("R2C",'Mapa final'!#REF!),"")</f>
        <v>#REF!</v>
      </c>
      <c r="AM37" s="56" t="e">
        <f>IF(AND('Mapa final'!#REF!="Baja",'Mapa final'!#REF!="Catastrófico"),CONCATENATE("R2C",'Mapa final'!#REF!),"")</f>
        <v>#REF!</v>
      </c>
      <c r="AN37" s="82"/>
      <c r="AO37" s="434"/>
      <c r="AP37" s="435"/>
      <c r="AQ37" s="435"/>
      <c r="AR37" s="435"/>
      <c r="AS37" s="435"/>
      <c r="AT37" s="436"/>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315"/>
      <c r="C38" s="315"/>
      <c r="D38" s="316"/>
      <c r="E38" s="414"/>
      <c r="F38" s="413"/>
      <c r="G38" s="413"/>
      <c r="H38" s="413"/>
      <c r="I38" s="413"/>
      <c r="J38" s="75" t="str">
        <f>IF(AND('Mapa final'!$Z$17="Baja",'Mapa final'!$AB$17="Leve"),CONCATENATE("R3C",'Mapa final'!$P$17),"")</f>
        <v>R3C1</v>
      </c>
      <c r="K38" s="76" t="str">
        <f>IF(AND('Mapa final'!$Z$18="Baja",'Mapa final'!$AB$18="Leve"),CONCATENATE("R3C",'Mapa final'!$P$18),"")</f>
        <v>R3C2</v>
      </c>
      <c r="L38" s="76" t="str">
        <f>IF(AND('Mapa final'!$Z$19="Baja",'Mapa final'!$AB$19="Leve"),CONCATENATE("R3C",'Mapa final'!$P$19),"")</f>
        <v/>
      </c>
      <c r="M38" s="76" t="e">
        <f>IF(AND('Mapa final'!#REF!="Baja",'Mapa final'!#REF!="Leve"),CONCATENATE("R3C",'Mapa final'!#REF!),"")</f>
        <v>#REF!</v>
      </c>
      <c r="N38" s="76" t="e">
        <f>IF(AND('Mapa final'!#REF!="Baja",'Mapa final'!#REF!="Leve"),CONCATENATE("R3C",'Mapa final'!#REF!),"")</f>
        <v>#REF!</v>
      </c>
      <c r="O38" s="77" t="e">
        <f>IF(AND('Mapa final'!#REF!="Baja",'Mapa final'!#REF!="Leve"),CONCATENATE("R3C",'Mapa final'!#REF!),"")</f>
        <v>#REF!</v>
      </c>
      <c r="P38" s="66" t="str">
        <f>IF(AND('Mapa final'!$Z$17="Baja",'Mapa final'!$AB$17="Menor"),CONCATENATE("R3C",'Mapa final'!$P$17),"")</f>
        <v/>
      </c>
      <c r="Q38" s="67" t="str">
        <f>IF(AND('Mapa final'!$Z$18="Baja",'Mapa final'!$AB$18="Menor"),CONCATENATE("R3C",'Mapa final'!$P$18),"")</f>
        <v/>
      </c>
      <c r="R38" s="67" t="str">
        <f>IF(AND('Mapa final'!$Z$19="Baja",'Mapa final'!$AB$19="Menor"),CONCATENATE("R3C",'Mapa final'!$P$19),"")</f>
        <v/>
      </c>
      <c r="S38" s="67" t="e">
        <f>IF(AND('Mapa final'!#REF!="Baja",'Mapa final'!#REF!="Menor"),CONCATENATE("R3C",'Mapa final'!#REF!),"")</f>
        <v>#REF!</v>
      </c>
      <c r="T38" s="67" t="e">
        <f>IF(AND('Mapa final'!#REF!="Baja",'Mapa final'!#REF!="Menor"),CONCATENATE("R3C",'Mapa final'!#REF!),"")</f>
        <v>#REF!</v>
      </c>
      <c r="U38" s="68" t="e">
        <f>IF(AND('Mapa final'!#REF!="Baja",'Mapa final'!#REF!="Menor"),CONCATENATE("R3C",'Mapa final'!#REF!),"")</f>
        <v>#REF!</v>
      </c>
      <c r="V38" s="66" t="str">
        <f>IF(AND('Mapa final'!$Z$17="Baja",'Mapa final'!$AB$17="Moderado"),CONCATENATE("R3C",'Mapa final'!$P$17),"")</f>
        <v/>
      </c>
      <c r="W38" s="67" t="str">
        <f>IF(AND('Mapa final'!$Z$18="Baja",'Mapa final'!$AB$18="Moderado"),CONCATENATE("R3C",'Mapa final'!$P$18),"")</f>
        <v/>
      </c>
      <c r="X38" s="67" t="str">
        <f>IF(AND('Mapa final'!$Z$19="Baja",'Mapa final'!$AB$19="Moderado"),CONCATENATE("R3C",'Mapa final'!$P$19),"")</f>
        <v/>
      </c>
      <c r="Y38" s="67" t="e">
        <f>IF(AND('Mapa final'!#REF!="Baja",'Mapa final'!#REF!="Moderado"),CONCATENATE("R3C",'Mapa final'!#REF!),"")</f>
        <v>#REF!</v>
      </c>
      <c r="Z38" s="67" t="e">
        <f>IF(AND('Mapa final'!#REF!="Baja",'Mapa final'!#REF!="Moderado"),CONCATENATE("R3C",'Mapa final'!#REF!),"")</f>
        <v>#REF!</v>
      </c>
      <c r="AA38" s="68" t="e">
        <f>IF(AND('Mapa final'!#REF!="Baja",'Mapa final'!#REF!="Moderado"),CONCATENATE("R3C",'Mapa final'!#REF!),"")</f>
        <v>#REF!</v>
      </c>
      <c r="AB38" s="51" t="str">
        <f>IF(AND('Mapa final'!$Z$17="Baja",'Mapa final'!$AB$17="Mayor"),CONCATENATE("R3C",'Mapa final'!$P$17),"")</f>
        <v/>
      </c>
      <c r="AC38" s="52" t="str">
        <f>IF(AND('Mapa final'!$Z$18="Baja",'Mapa final'!$AB$18="Mayor"),CONCATENATE("R3C",'Mapa final'!$P$18),"")</f>
        <v/>
      </c>
      <c r="AD38" s="52" t="str">
        <f>IF(AND('Mapa final'!$Z$19="Baja",'Mapa final'!$AB$19="Mayor"),CONCATENATE("R3C",'Mapa final'!$P$19),"")</f>
        <v/>
      </c>
      <c r="AE38" s="52" t="e">
        <f>IF(AND('Mapa final'!#REF!="Baja",'Mapa final'!#REF!="Mayor"),CONCATENATE("R3C",'Mapa final'!#REF!),"")</f>
        <v>#REF!</v>
      </c>
      <c r="AF38" s="52" t="e">
        <f>IF(AND('Mapa final'!#REF!="Baja",'Mapa final'!#REF!="Mayor"),CONCATENATE("R3C",'Mapa final'!#REF!),"")</f>
        <v>#REF!</v>
      </c>
      <c r="AG38" s="53" t="e">
        <f>IF(AND('Mapa final'!#REF!="Baja",'Mapa final'!#REF!="Mayor"),CONCATENATE("R3C",'Mapa final'!#REF!),"")</f>
        <v>#REF!</v>
      </c>
      <c r="AH38" s="54" t="str">
        <f>IF(AND('Mapa final'!$Z$17="Baja",'Mapa final'!$AB$17="Catastrófico"),CONCATENATE("R3C",'Mapa final'!$P$17),"")</f>
        <v/>
      </c>
      <c r="AI38" s="55" t="str">
        <f>IF(AND('Mapa final'!$Z$18="Baja",'Mapa final'!$AB$18="Catastrófico"),CONCATENATE("R3C",'Mapa final'!$P$18),"")</f>
        <v/>
      </c>
      <c r="AJ38" s="55" t="str">
        <f>IF(AND('Mapa final'!$Z$19="Baja",'Mapa final'!$AB$19="Catastrófico"),CONCATENATE("R3C",'Mapa final'!$P$19),"")</f>
        <v/>
      </c>
      <c r="AK38" s="55" t="e">
        <f>IF(AND('Mapa final'!#REF!="Baja",'Mapa final'!#REF!="Catastrófico"),CONCATENATE("R3C",'Mapa final'!#REF!),"")</f>
        <v>#REF!</v>
      </c>
      <c r="AL38" s="55" t="e">
        <f>IF(AND('Mapa final'!#REF!="Baja",'Mapa final'!#REF!="Catastrófico"),CONCATENATE("R3C",'Mapa final'!#REF!),"")</f>
        <v>#REF!</v>
      </c>
      <c r="AM38" s="56" t="e">
        <f>IF(AND('Mapa final'!#REF!="Baja",'Mapa final'!#REF!="Catastrófico"),CONCATENATE("R3C",'Mapa final'!#REF!),"")</f>
        <v>#REF!</v>
      </c>
      <c r="AN38" s="82"/>
      <c r="AO38" s="434"/>
      <c r="AP38" s="435"/>
      <c r="AQ38" s="435"/>
      <c r="AR38" s="435"/>
      <c r="AS38" s="435"/>
      <c r="AT38" s="436"/>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315"/>
      <c r="C39" s="315"/>
      <c r="D39" s="316"/>
      <c r="E39" s="414"/>
      <c r="F39" s="413"/>
      <c r="G39" s="413"/>
      <c r="H39" s="413"/>
      <c r="I39" s="413"/>
      <c r="J39" s="75" t="str">
        <f>IF(AND('Mapa final'!$Z$20="Baja",'Mapa final'!$AB$20="Leve"),CONCATENATE("R4C",'Mapa final'!$P$20),"")</f>
        <v>R4C1</v>
      </c>
      <c r="K39" s="76" t="e">
        <f>IF(AND('Mapa final'!#REF!="Baja",'Mapa final'!#REF!="Leve"),CONCATENATE("R4C",'Mapa final'!#REF!),"")</f>
        <v>#REF!</v>
      </c>
      <c r="L39" s="76" t="e">
        <f>IF(AND('Mapa final'!#REF!="Baja",'Mapa final'!#REF!="Leve"),CONCATENATE("R4C",'Mapa final'!#REF!),"")</f>
        <v>#REF!</v>
      </c>
      <c r="M39" s="76" t="e">
        <f>IF(AND('Mapa final'!#REF!="Baja",'Mapa final'!#REF!="Leve"),CONCATENATE("R4C",'Mapa final'!#REF!),"")</f>
        <v>#REF!</v>
      </c>
      <c r="N39" s="76" t="e">
        <f>IF(AND('Mapa final'!#REF!="Baja",'Mapa final'!#REF!="Leve"),CONCATENATE("R4C",'Mapa final'!#REF!),"")</f>
        <v>#REF!</v>
      </c>
      <c r="O39" s="77" t="e">
        <f>IF(AND('Mapa final'!#REF!="Baja",'Mapa final'!#REF!="Leve"),CONCATENATE("R4C",'Mapa final'!#REF!),"")</f>
        <v>#REF!</v>
      </c>
      <c r="P39" s="66" t="str">
        <f>IF(AND('Mapa final'!$Z$20="Baja",'Mapa final'!$AB$20="Menor"),CONCATENATE("R4C",'Mapa final'!$P$20),"")</f>
        <v/>
      </c>
      <c r="Q39" s="67" t="e">
        <f>IF(AND('Mapa final'!#REF!="Baja",'Mapa final'!#REF!="Menor"),CONCATENATE("R4C",'Mapa final'!#REF!),"")</f>
        <v>#REF!</v>
      </c>
      <c r="R39" s="67" t="e">
        <f>IF(AND('Mapa final'!#REF!="Baja",'Mapa final'!#REF!="Menor"),CONCATENATE("R4C",'Mapa final'!#REF!),"")</f>
        <v>#REF!</v>
      </c>
      <c r="S39" s="67" t="e">
        <f>IF(AND('Mapa final'!#REF!="Baja",'Mapa final'!#REF!="Menor"),CONCATENATE("R4C",'Mapa final'!#REF!),"")</f>
        <v>#REF!</v>
      </c>
      <c r="T39" s="67" t="e">
        <f>IF(AND('Mapa final'!#REF!="Baja",'Mapa final'!#REF!="Menor"),CONCATENATE("R4C",'Mapa final'!#REF!),"")</f>
        <v>#REF!</v>
      </c>
      <c r="U39" s="68" t="e">
        <f>IF(AND('Mapa final'!#REF!="Baja",'Mapa final'!#REF!="Menor"),CONCATENATE("R4C",'Mapa final'!#REF!),"")</f>
        <v>#REF!</v>
      </c>
      <c r="V39" s="66" t="str">
        <f>IF(AND('Mapa final'!$Z$20="Baja",'Mapa final'!$AB$20="Moderado"),CONCATENATE("R4C",'Mapa final'!$P$20),"")</f>
        <v/>
      </c>
      <c r="W39" s="67" t="e">
        <f>IF(AND('Mapa final'!#REF!="Baja",'Mapa final'!#REF!="Moderado"),CONCATENATE("R4C",'Mapa final'!#REF!),"")</f>
        <v>#REF!</v>
      </c>
      <c r="X39" s="67" t="e">
        <f>IF(AND('Mapa final'!#REF!="Baja",'Mapa final'!#REF!="Moderado"),CONCATENATE("R4C",'Mapa final'!#REF!),"")</f>
        <v>#REF!</v>
      </c>
      <c r="Y39" s="67" t="e">
        <f>IF(AND('Mapa final'!#REF!="Baja",'Mapa final'!#REF!="Moderado"),CONCATENATE("R4C",'Mapa final'!#REF!),"")</f>
        <v>#REF!</v>
      </c>
      <c r="Z39" s="67" t="e">
        <f>IF(AND('Mapa final'!#REF!="Baja",'Mapa final'!#REF!="Moderado"),CONCATENATE("R4C",'Mapa final'!#REF!),"")</f>
        <v>#REF!</v>
      </c>
      <c r="AA39" s="68" t="e">
        <f>IF(AND('Mapa final'!#REF!="Baja",'Mapa final'!#REF!="Moderado"),CONCATENATE("R4C",'Mapa final'!#REF!),"")</f>
        <v>#REF!</v>
      </c>
      <c r="AB39" s="51" t="str">
        <f>IF(AND('Mapa final'!$Z$20="Baja",'Mapa final'!$AB$20="Mayor"),CONCATENATE("R4C",'Mapa final'!$P$20),"")</f>
        <v/>
      </c>
      <c r="AC39" s="52" t="e">
        <f>IF(AND('Mapa final'!#REF!="Baja",'Mapa final'!#REF!="Mayor"),CONCATENATE("R4C",'Mapa final'!#REF!),"")</f>
        <v>#REF!</v>
      </c>
      <c r="AD39" s="52" t="e">
        <f>IF(AND('Mapa final'!#REF!="Baja",'Mapa final'!#REF!="Mayor"),CONCATENATE("R4C",'Mapa final'!#REF!),"")</f>
        <v>#REF!</v>
      </c>
      <c r="AE39" s="52" t="e">
        <f>IF(AND('Mapa final'!#REF!="Baja",'Mapa final'!#REF!="Mayor"),CONCATENATE("R4C",'Mapa final'!#REF!),"")</f>
        <v>#REF!</v>
      </c>
      <c r="AF39" s="52" t="e">
        <f>IF(AND('Mapa final'!#REF!="Baja",'Mapa final'!#REF!="Mayor"),CONCATENATE("R4C",'Mapa final'!#REF!),"")</f>
        <v>#REF!</v>
      </c>
      <c r="AG39" s="53" t="e">
        <f>IF(AND('Mapa final'!#REF!="Baja",'Mapa final'!#REF!="Mayor"),CONCATENATE("R4C",'Mapa final'!#REF!),"")</f>
        <v>#REF!</v>
      </c>
      <c r="AH39" s="54" t="str">
        <f>IF(AND('Mapa final'!$Z$20="Baja",'Mapa final'!$AB$20="Catastrófico"),CONCATENATE("R4C",'Mapa final'!$P$20),"")</f>
        <v/>
      </c>
      <c r="AI39" s="55" t="e">
        <f>IF(AND('Mapa final'!#REF!="Baja",'Mapa final'!#REF!="Catastrófico"),CONCATENATE("R4C",'Mapa final'!#REF!),"")</f>
        <v>#REF!</v>
      </c>
      <c r="AJ39" s="55" t="e">
        <f>IF(AND('Mapa final'!#REF!="Baja",'Mapa final'!#REF!="Catastrófico"),CONCATENATE("R4C",'Mapa final'!#REF!),"")</f>
        <v>#REF!</v>
      </c>
      <c r="AK39" s="55" t="e">
        <f>IF(AND('Mapa final'!#REF!="Baja",'Mapa final'!#REF!="Catastrófico"),CONCATENATE("R4C",'Mapa final'!#REF!),"")</f>
        <v>#REF!</v>
      </c>
      <c r="AL39" s="55" t="e">
        <f>IF(AND('Mapa final'!#REF!="Baja",'Mapa final'!#REF!="Catastrófico"),CONCATENATE("R4C",'Mapa final'!#REF!),"")</f>
        <v>#REF!</v>
      </c>
      <c r="AM39" s="56" t="e">
        <f>IF(AND('Mapa final'!#REF!="Baja",'Mapa final'!#REF!="Catastrófico"),CONCATENATE("R4C",'Mapa final'!#REF!),"")</f>
        <v>#REF!</v>
      </c>
      <c r="AN39" s="82"/>
      <c r="AO39" s="434"/>
      <c r="AP39" s="435"/>
      <c r="AQ39" s="435"/>
      <c r="AR39" s="435"/>
      <c r="AS39" s="435"/>
      <c r="AT39" s="436"/>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315"/>
      <c r="C40" s="315"/>
      <c r="D40" s="316"/>
      <c r="E40" s="414"/>
      <c r="F40" s="413"/>
      <c r="G40" s="413"/>
      <c r="H40" s="413"/>
      <c r="I40" s="413"/>
      <c r="J40" s="75" t="str">
        <f>IF(AND('Mapa final'!$Z$21="Baja",'Mapa final'!$AB$21="Leve"),CONCATENATE("R5C",'Mapa final'!$P$21),"")</f>
        <v/>
      </c>
      <c r="K40" s="76" t="str">
        <f>IF(AND('Mapa final'!$Z$22="Baja",'Mapa final'!$AB$22="Leve"),CONCATENATE("R5C",'Mapa final'!$P$22),"")</f>
        <v/>
      </c>
      <c r="L40" s="76" t="str">
        <f>IF(AND('Mapa final'!$Z$23="Baja",'Mapa final'!$AB$23="Leve"),CONCATENATE("R5C",'Mapa final'!$P$23),"")</f>
        <v/>
      </c>
      <c r="M40" s="76" t="str">
        <f>IF(AND('Mapa final'!$Z$24="Baja",'Mapa final'!$AB$24="Leve"),CONCATENATE("R5C",'Mapa final'!$P$24),"")</f>
        <v/>
      </c>
      <c r="N40" s="76" t="str">
        <f>IF(AND('Mapa final'!$Z$25="Baja",'Mapa final'!$AB$25="Leve"),CONCATENATE("R5C",'Mapa final'!$P$25),"")</f>
        <v/>
      </c>
      <c r="O40" s="77" t="e">
        <f>IF(AND('Mapa final'!#REF!="Baja",'Mapa final'!#REF!="Leve"),CONCATENATE("R5C",'Mapa final'!#REF!),"")</f>
        <v>#REF!</v>
      </c>
      <c r="P40" s="66" t="str">
        <f>IF(AND('Mapa final'!$Z$21="Baja",'Mapa final'!$AB$21="Menor"),CONCATENATE("R5C",'Mapa final'!$P$21),"")</f>
        <v/>
      </c>
      <c r="Q40" s="67" t="str">
        <f>IF(AND('Mapa final'!$Z$22="Baja",'Mapa final'!$AB$22="Menor"),CONCATENATE("R5C",'Mapa final'!$P$22),"")</f>
        <v/>
      </c>
      <c r="R40" s="67" t="str">
        <f>IF(AND('Mapa final'!$Z$23="Baja",'Mapa final'!$AB$23="Menor"),CONCATENATE("R5C",'Mapa final'!$P$23),"")</f>
        <v/>
      </c>
      <c r="S40" s="67" t="str">
        <f>IF(AND('Mapa final'!$Z$24="Baja",'Mapa final'!$AB$24="Menor"),CONCATENATE("R5C",'Mapa final'!$P$24),"")</f>
        <v/>
      </c>
      <c r="T40" s="67" t="str">
        <f>IF(AND('Mapa final'!$Z$25="Baja",'Mapa final'!$AB$25="Menor"),CONCATENATE("R5C",'Mapa final'!$P$25),"")</f>
        <v/>
      </c>
      <c r="U40" s="68" t="e">
        <f>IF(AND('Mapa final'!#REF!="Baja",'Mapa final'!#REF!="Menor"),CONCATENATE("R5C",'Mapa final'!#REF!),"")</f>
        <v>#REF!</v>
      </c>
      <c r="V40" s="66" t="str">
        <f>IF(AND('Mapa final'!$Z$21="Baja",'Mapa final'!$AB$21="Moderado"),CONCATENATE("R5C",'Mapa final'!$P$21),"")</f>
        <v/>
      </c>
      <c r="W40" s="67" t="str">
        <f>IF(AND('Mapa final'!$Z$22="Baja",'Mapa final'!$AB$22="Moderado"),CONCATENATE("R5C",'Mapa final'!$P$22),"")</f>
        <v/>
      </c>
      <c r="X40" s="67" t="str">
        <f>IF(AND('Mapa final'!$Z$23="Baja",'Mapa final'!$AB$23="Moderado"),CONCATENATE("R5C",'Mapa final'!$P$23),"")</f>
        <v/>
      </c>
      <c r="Y40" s="67" t="str">
        <f>IF(AND('Mapa final'!$Z$24="Baja",'Mapa final'!$AB$24="Moderado"),CONCATENATE("R5C",'Mapa final'!$P$24),"")</f>
        <v/>
      </c>
      <c r="Z40" s="67" t="str">
        <f>IF(AND('Mapa final'!$Z$25="Baja",'Mapa final'!$AB$25="Moderado"),CONCATENATE("R5C",'Mapa final'!$P$25),"")</f>
        <v/>
      </c>
      <c r="AA40" s="68" t="e">
        <f>IF(AND('Mapa final'!#REF!="Baja",'Mapa final'!#REF!="Moderado"),CONCATENATE("R5C",'Mapa final'!#REF!),"")</f>
        <v>#REF!</v>
      </c>
      <c r="AB40" s="51" t="str">
        <f>IF(AND('Mapa final'!$Z$21="Baja",'Mapa final'!$AB$21="Mayor"),CONCATENATE("R5C",'Mapa final'!$P$21),"")</f>
        <v/>
      </c>
      <c r="AC40" s="52" t="str">
        <f>IF(AND('Mapa final'!$Z$22="Baja",'Mapa final'!$AB$22="Mayor"),CONCATENATE("R5C",'Mapa final'!$P$22),"")</f>
        <v/>
      </c>
      <c r="AD40" s="52" t="str">
        <f>IF(AND('Mapa final'!$Z$23="Baja",'Mapa final'!$AB$23="Mayor"),CONCATENATE("R5C",'Mapa final'!$P$23),"")</f>
        <v/>
      </c>
      <c r="AE40" s="52" t="str">
        <f>IF(AND('Mapa final'!$Z$24="Baja",'Mapa final'!$AB$24="Mayor"),CONCATENATE("R5C",'Mapa final'!$P$24),"")</f>
        <v>R5C4</v>
      </c>
      <c r="AF40" s="52" t="str">
        <f>IF(AND('Mapa final'!$Z$25="Baja",'Mapa final'!$AB$25="Mayor"),CONCATENATE("R5C",'Mapa final'!$P$25),"")</f>
        <v/>
      </c>
      <c r="AG40" s="53" t="e">
        <f>IF(AND('Mapa final'!#REF!="Baja",'Mapa final'!#REF!="Mayor"),CONCATENATE("R5C",'Mapa final'!#REF!),"")</f>
        <v>#REF!</v>
      </c>
      <c r="AH40" s="54" t="str">
        <f>IF(AND('Mapa final'!$Z$21="Baja",'Mapa final'!$AB$21="Catastrófico"),CONCATENATE("R5C",'Mapa final'!$P$21),"")</f>
        <v/>
      </c>
      <c r="AI40" s="55" t="str">
        <f>IF(AND('Mapa final'!$Z$22="Baja",'Mapa final'!$AB$22="Catastrófico"),CONCATENATE("R5C",'Mapa final'!$P$22),"")</f>
        <v>R5C2</v>
      </c>
      <c r="AJ40" s="55" t="str">
        <f>IF(AND('Mapa final'!$Z$23="Baja",'Mapa final'!$AB$23="Catastrófico"),CONCATENATE("R5C",'Mapa final'!$P$23),"")</f>
        <v>R5C3</v>
      </c>
      <c r="AK40" s="55" t="str">
        <f>IF(AND('Mapa final'!$Z$24="Baja",'Mapa final'!$AB$24="Catastrófico"),CONCATENATE("R5C",'Mapa final'!$P$24),"")</f>
        <v/>
      </c>
      <c r="AL40" s="55" t="str">
        <f>IF(AND('Mapa final'!$Z$25="Baja",'Mapa final'!$AB$25="Catastrófico"),CONCATENATE("R5C",'Mapa final'!$P$25),"")</f>
        <v/>
      </c>
      <c r="AM40" s="56" t="e">
        <f>IF(AND('Mapa final'!#REF!="Baja",'Mapa final'!#REF!="Catastrófico"),CONCATENATE("R5C",'Mapa final'!#REF!),"")</f>
        <v>#REF!</v>
      </c>
      <c r="AN40" s="82"/>
      <c r="AO40" s="434"/>
      <c r="AP40" s="435"/>
      <c r="AQ40" s="435"/>
      <c r="AR40" s="435"/>
      <c r="AS40" s="435"/>
      <c r="AT40" s="436"/>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315"/>
      <c r="C41" s="315"/>
      <c r="D41" s="316"/>
      <c r="E41" s="414"/>
      <c r="F41" s="413"/>
      <c r="G41" s="413"/>
      <c r="H41" s="413"/>
      <c r="I41" s="413"/>
      <c r="J41" s="75" t="str">
        <f>IF(AND('Mapa final'!$Z$35="Baja",'Mapa final'!$AB$35="Leve"),CONCATENATE("R6C",'Mapa final'!$P$35),"")</f>
        <v/>
      </c>
      <c r="K41" s="76" t="e">
        <f>IF(AND('Mapa final'!#REF!="Baja",'Mapa final'!#REF!="Leve"),CONCATENATE("R6C",'Mapa final'!#REF!),"")</f>
        <v>#REF!</v>
      </c>
      <c r="L41" s="76" t="e">
        <f>IF(AND('Mapa final'!#REF!="Baja",'Mapa final'!#REF!="Leve"),CONCATENATE("R6C",'Mapa final'!#REF!),"")</f>
        <v>#REF!</v>
      </c>
      <c r="M41" s="76" t="e">
        <f>IF(AND('Mapa final'!#REF!="Baja",'Mapa final'!#REF!="Leve"),CONCATENATE("R6C",'Mapa final'!#REF!),"")</f>
        <v>#REF!</v>
      </c>
      <c r="N41" s="76" t="e">
        <f>IF(AND('Mapa final'!#REF!="Baja",'Mapa final'!#REF!="Leve"),CONCATENATE("R6C",'Mapa final'!#REF!),"")</f>
        <v>#REF!</v>
      </c>
      <c r="O41" s="77" t="e">
        <f>IF(AND('Mapa final'!#REF!="Baja",'Mapa final'!#REF!="Leve"),CONCATENATE("R6C",'Mapa final'!#REF!),"")</f>
        <v>#REF!</v>
      </c>
      <c r="P41" s="66" t="str">
        <f>IF(AND('Mapa final'!$Z$35="Baja",'Mapa final'!$AB$35="Menor"),CONCATENATE("R6C",'Mapa final'!$P$35),"")</f>
        <v/>
      </c>
      <c r="Q41" s="67" t="e">
        <f>IF(AND('Mapa final'!#REF!="Baja",'Mapa final'!#REF!="Menor"),CONCATENATE("R6C",'Mapa final'!#REF!),"")</f>
        <v>#REF!</v>
      </c>
      <c r="R41" s="67" t="e">
        <f>IF(AND('Mapa final'!#REF!="Baja",'Mapa final'!#REF!="Menor"),CONCATENATE("R6C",'Mapa final'!#REF!),"")</f>
        <v>#REF!</v>
      </c>
      <c r="S41" s="67" t="e">
        <f>IF(AND('Mapa final'!#REF!="Baja",'Mapa final'!#REF!="Menor"),CONCATENATE("R6C",'Mapa final'!#REF!),"")</f>
        <v>#REF!</v>
      </c>
      <c r="T41" s="67" t="e">
        <f>IF(AND('Mapa final'!#REF!="Baja",'Mapa final'!#REF!="Menor"),CONCATENATE("R6C",'Mapa final'!#REF!),"")</f>
        <v>#REF!</v>
      </c>
      <c r="U41" s="68" t="e">
        <f>IF(AND('Mapa final'!#REF!="Baja",'Mapa final'!#REF!="Menor"),CONCATENATE("R6C",'Mapa final'!#REF!),"")</f>
        <v>#REF!</v>
      </c>
      <c r="V41" s="66" t="str">
        <f>IF(AND('Mapa final'!$Z$35="Baja",'Mapa final'!$AB$35="Moderado"),CONCATENATE("R6C",'Mapa final'!$P$35),"")</f>
        <v/>
      </c>
      <c r="W41" s="67" t="e">
        <f>IF(AND('Mapa final'!#REF!="Baja",'Mapa final'!#REF!="Moderado"),CONCATENATE("R6C",'Mapa final'!#REF!),"")</f>
        <v>#REF!</v>
      </c>
      <c r="X41" s="67" t="e">
        <f>IF(AND('Mapa final'!#REF!="Baja",'Mapa final'!#REF!="Moderado"),CONCATENATE("R6C",'Mapa final'!#REF!),"")</f>
        <v>#REF!</v>
      </c>
      <c r="Y41" s="67" t="e">
        <f>IF(AND('Mapa final'!#REF!="Baja",'Mapa final'!#REF!="Moderado"),CONCATENATE("R6C",'Mapa final'!#REF!),"")</f>
        <v>#REF!</v>
      </c>
      <c r="Z41" s="67" t="e">
        <f>IF(AND('Mapa final'!#REF!="Baja",'Mapa final'!#REF!="Moderado"),CONCATENATE("R6C",'Mapa final'!#REF!),"")</f>
        <v>#REF!</v>
      </c>
      <c r="AA41" s="68" t="e">
        <f>IF(AND('Mapa final'!#REF!="Baja",'Mapa final'!#REF!="Moderado"),CONCATENATE("R6C",'Mapa final'!#REF!),"")</f>
        <v>#REF!</v>
      </c>
      <c r="AB41" s="51" t="str">
        <f>IF(AND('Mapa final'!$Z$35="Baja",'Mapa final'!$AB$35="Mayor"),CONCATENATE("R6C",'Mapa final'!$P$35),"")</f>
        <v/>
      </c>
      <c r="AC41" s="52" t="e">
        <f>IF(AND('Mapa final'!#REF!="Baja",'Mapa final'!#REF!="Mayor"),CONCATENATE("R6C",'Mapa final'!#REF!),"")</f>
        <v>#REF!</v>
      </c>
      <c r="AD41" s="52" t="e">
        <f>IF(AND('Mapa final'!#REF!="Baja",'Mapa final'!#REF!="Mayor"),CONCATENATE("R6C",'Mapa final'!#REF!),"")</f>
        <v>#REF!</v>
      </c>
      <c r="AE41" s="52" t="e">
        <f>IF(AND('Mapa final'!#REF!="Baja",'Mapa final'!#REF!="Mayor"),CONCATENATE("R6C",'Mapa final'!#REF!),"")</f>
        <v>#REF!</v>
      </c>
      <c r="AF41" s="52" t="e">
        <f>IF(AND('Mapa final'!#REF!="Baja",'Mapa final'!#REF!="Mayor"),CONCATENATE("R6C",'Mapa final'!#REF!),"")</f>
        <v>#REF!</v>
      </c>
      <c r="AG41" s="53" t="e">
        <f>IF(AND('Mapa final'!#REF!="Baja",'Mapa final'!#REF!="Mayor"),CONCATENATE("R6C",'Mapa final'!#REF!),"")</f>
        <v>#REF!</v>
      </c>
      <c r="AH41" s="54" t="str">
        <f>IF(AND('Mapa final'!$Z$35="Baja",'Mapa final'!$AB$35="Catastrófico"),CONCATENATE("R6C",'Mapa final'!$P$35),"")</f>
        <v/>
      </c>
      <c r="AI41" s="55" t="e">
        <f>IF(AND('Mapa final'!#REF!="Baja",'Mapa final'!#REF!="Catastrófico"),CONCATENATE("R6C",'Mapa final'!#REF!),"")</f>
        <v>#REF!</v>
      </c>
      <c r="AJ41" s="55" t="e">
        <f>IF(AND('Mapa final'!#REF!="Baja",'Mapa final'!#REF!="Catastrófico"),CONCATENATE("R6C",'Mapa final'!#REF!),"")</f>
        <v>#REF!</v>
      </c>
      <c r="AK41" s="55" t="e">
        <f>IF(AND('Mapa final'!#REF!="Baja",'Mapa final'!#REF!="Catastrófico"),CONCATENATE("R6C",'Mapa final'!#REF!),"")</f>
        <v>#REF!</v>
      </c>
      <c r="AL41" s="55" t="e">
        <f>IF(AND('Mapa final'!#REF!="Baja",'Mapa final'!#REF!="Catastrófico"),CONCATENATE("R6C",'Mapa final'!#REF!),"")</f>
        <v>#REF!</v>
      </c>
      <c r="AM41" s="56" t="e">
        <f>IF(AND('Mapa final'!#REF!="Baja",'Mapa final'!#REF!="Catastrófico"),CONCATENATE("R6C",'Mapa final'!#REF!),"")</f>
        <v>#REF!</v>
      </c>
      <c r="AN41" s="82"/>
      <c r="AO41" s="434"/>
      <c r="AP41" s="435"/>
      <c r="AQ41" s="435"/>
      <c r="AR41" s="435"/>
      <c r="AS41" s="435"/>
      <c r="AT41" s="436"/>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315"/>
      <c r="C42" s="315"/>
      <c r="D42" s="316"/>
      <c r="E42" s="414"/>
      <c r="F42" s="413"/>
      <c r="G42" s="413"/>
      <c r="H42" s="413"/>
      <c r="I42" s="413"/>
      <c r="J42" s="75" t="str">
        <f>IF(AND('Mapa final'!$Z$36="Baja",'Mapa final'!$AB$36="Leve"),CONCATENATE("R7C",'Mapa final'!$P$36),"")</f>
        <v/>
      </c>
      <c r="K42" s="76" t="e">
        <f>IF(AND('Mapa final'!#REF!="Baja",'Mapa final'!#REF!="Leve"),CONCATENATE("R7C",'Mapa final'!#REF!),"")</f>
        <v>#REF!</v>
      </c>
      <c r="L42" s="76" t="e">
        <f>IF(AND('Mapa final'!#REF!="Baja",'Mapa final'!#REF!="Leve"),CONCATENATE("R7C",'Mapa final'!#REF!),"")</f>
        <v>#REF!</v>
      </c>
      <c r="M42" s="76" t="e">
        <f>IF(AND('Mapa final'!#REF!="Baja",'Mapa final'!#REF!="Leve"),CONCATENATE("R7C",'Mapa final'!#REF!),"")</f>
        <v>#REF!</v>
      </c>
      <c r="N42" s="76" t="e">
        <f>IF(AND('Mapa final'!#REF!="Baja",'Mapa final'!#REF!="Leve"),CONCATENATE("R7C",'Mapa final'!#REF!),"")</f>
        <v>#REF!</v>
      </c>
      <c r="O42" s="77" t="e">
        <f>IF(AND('Mapa final'!#REF!="Baja",'Mapa final'!#REF!="Leve"),CONCATENATE("R7C",'Mapa final'!#REF!),"")</f>
        <v>#REF!</v>
      </c>
      <c r="P42" s="66" t="str">
        <f>IF(AND('Mapa final'!$Z$36="Baja",'Mapa final'!$AB$36="Menor"),CONCATENATE("R7C",'Mapa final'!$P$36),"")</f>
        <v>R7C1</v>
      </c>
      <c r="Q42" s="67" t="e">
        <f>IF(AND('Mapa final'!#REF!="Baja",'Mapa final'!#REF!="Menor"),CONCATENATE("R7C",'Mapa final'!#REF!),"")</f>
        <v>#REF!</v>
      </c>
      <c r="R42" s="67" t="e">
        <f>IF(AND('Mapa final'!#REF!="Baja",'Mapa final'!#REF!="Menor"),CONCATENATE("R7C",'Mapa final'!#REF!),"")</f>
        <v>#REF!</v>
      </c>
      <c r="S42" s="67" t="e">
        <f>IF(AND('Mapa final'!#REF!="Baja",'Mapa final'!#REF!="Menor"),CONCATENATE("R7C",'Mapa final'!#REF!),"")</f>
        <v>#REF!</v>
      </c>
      <c r="T42" s="67" t="e">
        <f>IF(AND('Mapa final'!#REF!="Baja",'Mapa final'!#REF!="Menor"),CONCATENATE("R7C",'Mapa final'!#REF!),"")</f>
        <v>#REF!</v>
      </c>
      <c r="U42" s="68" t="e">
        <f>IF(AND('Mapa final'!#REF!="Baja",'Mapa final'!#REF!="Menor"),CONCATENATE("R7C",'Mapa final'!#REF!),"")</f>
        <v>#REF!</v>
      </c>
      <c r="V42" s="66" t="str">
        <f>IF(AND('Mapa final'!$Z$36="Baja",'Mapa final'!$AB$36="Moderado"),CONCATENATE("R7C",'Mapa final'!$P$36),"")</f>
        <v/>
      </c>
      <c r="W42" s="67" t="e">
        <f>IF(AND('Mapa final'!#REF!="Baja",'Mapa final'!#REF!="Moderado"),CONCATENATE("R7C",'Mapa final'!#REF!),"")</f>
        <v>#REF!</v>
      </c>
      <c r="X42" s="67" t="e">
        <f>IF(AND('Mapa final'!#REF!="Baja",'Mapa final'!#REF!="Moderado"),CONCATENATE("R7C",'Mapa final'!#REF!),"")</f>
        <v>#REF!</v>
      </c>
      <c r="Y42" s="67" t="e">
        <f>IF(AND('Mapa final'!#REF!="Baja",'Mapa final'!#REF!="Moderado"),CONCATENATE("R7C",'Mapa final'!#REF!),"")</f>
        <v>#REF!</v>
      </c>
      <c r="Z42" s="67" t="e">
        <f>IF(AND('Mapa final'!#REF!="Baja",'Mapa final'!#REF!="Moderado"),CONCATENATE("R7C",'Mapa final'!#REF!),"")</f>
        <v>#REF!</v>
      </c>
      <c r="AA42" s="68" t="e">
        <f>IF(AND('Mapa final'!#REF!="Baja",'Mapa final'!#REF!="Moderado"),CONCATENATE("R7C",'Mapa final'!#REF!),"")</f>
        <v>#REF!</v>
      </c>
      <c r="AB42" s="51" t="str">
        <f>IF(AND('Mapa final'!$Z$36="Baja",'Mapa final'!$AB$36="Mayor"),CONCATENATE("R7C",'Mapa final'!$P$36),"")</f>
        <v/>
      </c>
      <c r="AC42" s="52" t="e">
        <f>IF(AND('Mapa final'!#REF!="Baja",'Mapa final'!#REF!="Mayor"),CONCATENATE("R7C",'Mapa final'!#REF!),"")</f>
        <v>#REF!</v>
      </c>
      <c r="AD42" s="52" t="e">
        <f>IF(AND('Mapa final'!#REF!="Baja",'Mapa final'!#REF!="Mayor"),CONCATENATE("R7C",'Mapa final'!#REF!),"")</f>
        <v>#REF!</v>
      </c>
      <c r="AE42" s="52" t="e">
        <f>IF(AND('Mapa final'!#REF!="Baja",'Mapa final'!#REF!="Mayor"),CONCATENATE("R7C",'Mapa final'!#REF!),"")</f>
        <v>#REF!</v>
      </c>
      <c r="AF42" s="52" t="e">
        <f>IF(AND('Mapa final'!#REF!="Baja",'Mapa final'!#REF!="Mayor"),CONCATENATE("R7C",'Mapa final'!#REF!),"")</f>
        <v>#REF!</v>
      </c>
      <c r="AG42" s="53" t="e">
        <f>IF(AND('Mapa final'!#REF!="Baja",'Mapa final'!#REF!="Mayor"),CONCATENATE("R7C",'Mapa final'!#REF!),"")</f>
        <v>#REF!</v>
      </c>
      <c r="AH42" s="54" t="str">
        <f>IF(AND('Mapa final'!$Z$36="Baja",'Mapa final'!$AB$36="Catastrófico"),CONCATENATE("R7C",'Mapa final'!$P$36),"")</f>
        <v/>
      </c>
      <c r="AI42" s="55" t="e">
        <f>IF(AND('Mapa final'!#REF!="Baja",'Mapa final'!#REF!="Catastrófico"),CONCATENATE("R7C",'Mapa final'!#REF!),"")</f>
        <v>#REF!</v>
      </c>
      <c r="AJ42" s="55" t="e">
        <f>IF(AND('Mapa final'!#REF!="Baja",'Mapa final'!#REF!="Catastrófico"),CONCATENATE("R7C",'Mapa final'!#REF!),"")</f>
        <v>#REF!</v>
      </c>
      <c r="AK42" s="55" t="e">
        <f>IF(AND('Mapa final'!#REF!="Baja",'Mapa final'!#REF!="Catastrófico"),CONCATENATE("R7C",'Mapa final'!#REF!),"")</f>
        <v>#REF!</v>
      </c>
      <c r="AL42" s="55" t="e">
        <f>IF(AND('Mapa final'!#REF!="Baja",'Mapa final'!#REF!="Catastrófico"),CONCATENATE("R7C",'Mapa final'!#REF!),"")</f>
        <v>#REF!</v>
      </c>
      <c r="AM42" s="56" t="e">
        <f>IF(AND('Mapa final'!#REF!="Baja",'Mapa final'!#REF!="Catastrófico"),CONCATENATE("R7C",'Mapa final'!#REF!),"")</f>
        <v>#REF!</v>
      </c>
      <c r="AN42" s="82"/>
      <c r="AO42" s="434"/>
      <c r="AP42" s="435"/>
      <c r="AQ42" s="435"/>
      <c r="AR42" s="435"/>
      <c r="AS42" s="435"/>
      <c r="AT42" s="436"/>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315"/>
      <c r="C43" s="315"/>
      <c r="D43" s="316"/>
      <c r="E43" s="414"/>
      <c r="F43" s="413"/>
      <c r="G43" s="413"/>
      <c r="H43" s="413"/>
      <c r="I43" s="413"/>
      <c r="J43" s="75" t="e">
        <f>IF(AND('Mapa final'!#REF!="Baja",'Mapa final'!#REF!="Leve"),CONCATENATE("R8C",'Mapa final'!#REF!),"")</f>
        <v>#REF!</v>
      </c>
      <c r="K43" s="76" t="e">
        <f>IF(AND('Mapa final'!#REF!="Baja",'Mapa final'!#REF!="Leve"),CONCATENATE("R8C",'Mapa final'!#REF!),"")</f>
        <v>#REF!</v>
      </c>
      <c r="L43" s="76" t="e">
        <f>IF(AND('Mapa final'!#REF!="Baja",'Mapa final'!#REF!="Leve"),CONCATENATE("R8C",'Mapa final'!#REF!),"")</f>
        <v>#REF!</v>
      </c>
      <c r="M43" s="76" t="e">
        <f>IF(AND('Mapa final'!#REF!="Baja",'Mapa final'!#REF!="Leve"),CONCATENATE("R8C",'Mapa final'!#REF!),"")</f>
        <v>#REF!</v>
      </c>
      <c r="N43" s="76" t="e">
        <f>IF(AND('Mapa final'!#REF!="Baja",'Mapa final'!#REF!="Leve"),CONCATENATE("R8C",'Mapa final'!#REF!),"")</f>
        <v>#REF!</v>
      </c>
      <c r="O43" s="77" t="e">
        <f>IF(AND('Mapa final'!#REF!="Baja",'Mapa final'!#REF!="Leve"),CONCATENATE("R8C",'Mapa final'!#REF!),"")</f>
        <v>#REF!</v>
      </c>
      <c r="P43" s="66" t="e">
        <f>IF(AND('Mapa final'!#REF!="Baja",'Mapa final'!#REF!="Menor"),CONCATENATE("R8C",'Mapa final'!#REF!),"")</f>
        <v>#REF!</v>
      </c>
      <c r="Q43" s="67" t="e">
        <f>IF(AND('Mapa final'!#REF!="Baja",'Mapa final'!#REF!="Menor"),CONCATENATE("R8C",'Mapa final'!#REF!),"")</f>
        <v>#REF!</v>
      </c>
      <c r="R43" s="67" t="e">
        <f>IF(AND('Mapa final'!#REF!="Baja",'Mapa final'!#REF!="Menor"),CONCATENATE("R8C",'Mapa final'!#REF!),"")</f>
        <v>#REF!</v>
      </c>
      <c r="S43" s="67" t="e">
        <f>IF(AND('Mapa final'!#REF!="Baja",'Mapa final'!#REF!="Menor"),CONCATENATE("R8C",'Mapa final'!#REF!),"")</f>
        <v>#REF!</v>
      </c>
      <c r="T43" s="67" t="e">
        <f>IF(AND('Mapa final'!#REF!="Baja",'Mapa final'!#REF!="Menor"),CONCATENATE("R8C",'Mapa final'!#REF!),"")</f>
        <v>#REF!</v>
      </c>
      <c r="U43" s="68" t="e">
        <f>IF(AND('Mapa final'!#REF!="Baja",'Mapa final'!#REF!="Menor"),CONCATENATE("R8C",'Mapa final'!#REF!),"")</f>
        <v>#REF!</v>
      </c>
      <c r="V43" s="66" t="e">
        <f>IF(AND('Mapa final'!#REF!="Baja",'Mapa final'!#REF!="Moderado"),CONCATENATE("R8C",'Mapa final'!#REF!),"")</f>
        <v>#REF!</v>
      </c>
      <c r="W43" s="67" t="e">
        <f>IF(AND('Mapa final'!#REF!="Baja",'Mapa final'!#REF!="Moderado"),CONCATENATE("R8C",'Mapa final'!#REF!),"")</f>
        <v>#REF!</v>
      </c>
      <c r="X43" s="67" t="e">
        <f>IF(AND('Mapa final'!#REF!="Baja",'Mapa final'!#REF!="Moderado"),CONCATENATE("R8C",'Mapa final'!#REF!),"")</f>
        <v>#REF!</v>
      </c>
      <c r="Y43" s="67" t="e">
        <f>IF(AND('Mapa final'!#REF!="Baja",'Mapa final'!#REF!="Moderado"),CONCATENATE("R8C",'Mapa final'!#REF!),"")</f>
        <v>#REF!</v>
      </c>
      <c r="Z43" s="67" t="e">
        <f>IF(AND('Mapa final'!#REF!="Baja",'Mapa final'!#REF!="Moderado"),CONCATENATE("R8C",'Mapa final'!#REF!),"")</f>
        <v>#REF!</v>
      </c>
      <c r="AA43" s="68" t="e">
        <f>IF(AND('Mapa final'!#REF!="Baja",'Mapa final'!#REF!="Moderado"),CONCATENATE("R8C",'Mapa final'!#REF!),"")</f>
        <v>#REF!</v>
      </c>
      <c r="AB43" s="51" t="e">
        <f>IF(AND('Mapa final'!#REF!="Baja",'Mapa final'!#REF!="Mayor"),CONCATENATE("R8C",'Mapa final'!#REF!),"")</f>
        <v>#REF!</v>
      </c>
      <c r="AC43" s="52" t="e">
        <f>IF(AND('Mapa final'!#REF!="Baja",'Mapa final'!#REF!="Mayor"),CONCATENATE("R8C",'Mapa final'!#REF!),"")</f>
        <v>#REF!</v>
      </c>
      <c r="AD43" s="52" t="e">
        <f>IF(AND('Mapa final'!#REF!="Baja",'Mapa final'!#REF!="Mayor"),CONCATENATE("R8C",'Mapa final'!#REF!),"")</f>
        <v>#REF!</v>
      </c>
      <c r="AE43" s="52" t="e">
        <f>IF(AND('Mapa final'!#REF!="Baja",'Mapa final'!#REF!="Mayor"),CONCATENATE("R8C",'Mapa final'!#REF!),"")</f>
        <v>#REF!</v>
      </c>
      <c r="AF43" s="52" t="e">
        <f>IF(AND('Mapa final'!#REF!="Baja",'Mapa final'!#REF!="Mayor"),CONCATENATE("R8C",'Mapa final'!#REF!),"")</f>
        <v>#REF!</v>
      </c>
      <c r="AG43" s="53" t="e">
        <f>IF(AND('Mapa final'!#REF!="Baja",'Mapa final'!#REF!="Mayor"),CONCATENATE("R8C",'Mapa final'!#REF!),"")</f>
        <v>#REF!</v>
      </c>
      <c r="AH43" s="54" t="e">
        <f>IF(AND('Mapa final'!#REF!="Baja",'Mapa final'!#REF!="Catastrófico"),CONCATENATE("R8C",'Mapa final'!#REF!),"")</f>
        <v>#REF!</v>
      </c>
      <c r="AI43" s="55" t="e">
        <f>IF(AND('Mapa final'!#REF!="Baja",'Mapa final'!#REF!="Catastrófico"),CONCATENATE("R8C",'Mapa final'!#REF!),"")</f>
        <v>#REF!</v>
      </c>
      <c r="AJ43" s="55" t="e">
        <f>IF(AND('Mapa final'!#REF!="Baja",'Mapa final'!#REF!="Catastrófico"),CONCATENATE("R8C",'Mapa final'!#REF!),"")</f>
        <v>#REF!</v>
      </c>
      <c r="AK43" s="55" t="e">
        <f>IF(AND('Mapa final'!#REF!="Baja",'Mapa final'!#REF!="Catastrófico"),CONCATENATE("R8C",'Mapa final'!#REF!),"")</f>
        <v>#REF!</v>
      </c>
      <c r="AL43" s="55" t="e">
        <f>IF(AND('Mapa final'!#REF!="Baja",'Mapa final'!#REF!="Catastrófico"),CONCATENATE("R8C",'Mapa final'!#REF!),"")</f>
        <v>#REF!</v>
      </c>
      <c r="AM43" s="56" t="e">
        <f>IF(AND('Mapa final'!#REF!="Baja",'Mapa final'!#REF!="Catastrófico"),CONCATENATE("R8C",'Mapa final'!#REF!),"")</f>
        <v>#REF!</v>
      </c>
      <c r="AN43" s="82"/>
      <c r="AO43" s="434"/>
      <c r="AP43" s="435"/>
      <c r="AQ43" s="435"/>
      <c r="AR43" s="435"/>
      <c r="AS43" s="435"/>
      <c r="AT43" s="436"/>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315"/>
      <c r="C44" s="315"/>
      <c r="D44" s="316"/>
      <c r="E44" s="414"/>
      <c r="F44" s="413"/>
      <c r="G44" s="413"/>
      <c r="H44" s="413"/>
      <c r="I44" s="413"/>
      <c r="J44" s="75" t="str">
        <f>IF(AND('Mapa final'!$Z$37="Baja",'Mapa final'!$AB$37="Leve"),CONCATENATE("R9C",'Mapa final'!$P$37),"")</f>
        <v/>
      </c>
      <c r="K44" s="76" t="e">
        <f>IF(AND('Mapa final'!#REF!="Baja",'Mapa final'!#REF!="Leve"),CONCATENATE("R9C",'Mapa final'!#REF!),"")</f>
        <v>#REF!</v>
      </c>
      <c r="L44" s="76" t="e">
        <f>IF(AND('Mapa final'!#REF!="Baja",'Mapa final'!#REF!="Leve"),CONCATENATE("R9C",'Mapa final'!#REF!),"")</f>
        <v>#REF!</v>
      </c>
      <c r="M44" s="76" t="e">
        <f>IF(AND('Mapa final'!#REF!="Baja",'Mapa final'!#REF!="Leve"),CONCATENATE("R9C",'Mapa final'!#REF!),"")</f>
        <v>#REF!</v>
      </c>
      <c r="N44" s="76" t="e">
        <f>IF(AND('Mapa final'!#REF!="Baja",'Mapa final'!#REF!="Leve"),CONCATENATE("R9C",'Mapa final'!#REF!),"")</f>
        <v>#REF!</v>
      </c>
      <c r="O44" s="77" t="e">
        <f>IF(AND('Mapa final'!#REF!="Baja",'Mapa final'!#REF!="Leve"),CONCATENATE("R9C",'Mapa final'!#REF!),"")</f>
        <v>#REF!</v>
      </c>
      <c r="P44" s="66" t="str">
        <f>IF(AND('Mapa final'!$Z$37="Baja",'Mapa final'!$AB$37="Menor"),CONCATENATE("R9C",'Mapa final'!$P$37),"")</f>
        <v/>
      </c>
      <c r="Q44" s="67" t="e">
        <f>IF(AND('Mapa final'!#REF!="Baja",'Mapa final'!#REF!="Menor"),CONCATENATE("R9C",'Mapa final'!#REF!),"")</f>
        <v>#REF!</v>
      </c>
      <c r="R44" s="67" t="e">
        <f>IF(AND('Mapa final'!#REF!="Baja",'Mapa final'!#REF!="Menor"),CONCATENATE("R9C",'Mapa final'!#REF!),"")</f>
        <v>#REF!</v>
      </c>
      <c r="S44" s="67" t="e">
        <f>IF(AND('Mapa final'!#REF!="Baja",'Mapa final'!#REF!="Menor"),CONCATENATE("R9C",'Mapa final'!#REF!),"")</f>
        <v>#REF!</v>
      </c>
      <c r="T44" s="67" t="e">
        <f>IF(AND('Mapa final'!#REF!="Baja",'Mapa final'!#REF!="Menor"),CONCATENATE("R9C",'Mapa final'!#REF!),"")</f>
        <v>#REF!</v>
      </c>
      <c r="U44" s="68" t="e">
        <f>IF(AND('Mapa final'!#REF!="Baja",'Mapa final'!#REF!="Menor"),CONCATENATE("R9C",'Mapa final'!#REF!),"")</f>
        <v>#REF!</v>
      </c>
      <c r="V44" s="66" t="str">
        <f>IF(AND('Mapa final'!$Z$37="Baja",'Mapa final'!$AB$37="Moderado"),CONCATENATE("R9C",'Mapa final'!$P$37),"")</f>
        <v/>
      </c>
      <c r="W44" s="67" t="e">
        <f>IF(AND('Mapa final'!#REF!="Baja",'Mapa final'!#REF!="Moderado"),CONCATENATE("R9C",'Mapa final'!#REF!),"")</f>
        <v>#REF!</v>
      </c>
      <c r="X44" s="67" t="e">
        <f>IF(AND('Mapa final'!#REF!="Baja",'Mapa final'!#REF!="Moderado"),CONCATENATE("R9C",'Mapa final'!#REF!),"")</f>
        <v>#REF!</v>
      </c>
      <c r="Y44" s="67" t="e">
        <f>IF(AND('Mapa final'!#REF!="Baja",'Mapa final'!#REF!="Moderado"),CONCATENATE("R9C",'Mapa final'!#REF!),"")</f>
        <v>#REF!</v>
      </c>
      <c r="Z44" s="67" t="e">
        <f>IF(AND('Mapa final'!#REF!="Baja",'Mapa final'!#REF!="Moderado"),CONCATENATE("R9C",'Mapa final'!#REF!),"")</f>
        <v>#REF!</v>
      </c>
      <c r="AA44" s="68" t="e">
        <f>IF(AND('Mapa final'!#REF!="Baja",'Mapa final'!#REF!="Moderado"),CONCATENATE("R9C",'Mapa final'!#REF!),"")</f>
        <v>#REF!</v>
      </c>
      <c r="AB44" s="51" t="str">
        <f>IF(AND('Mapa final'!$Z$37="Baja",'Mapa final'!$AB$37="Mayor"),CONCATENATE("R9C",'Mapa final'!$P$37),"")</f>
        <v>R9C1</v>
      </c>
      <c r="AC44" s="52" t="e">
        <f>IF(AND('Mapa final'!#REF!="Baja",'Mapa final'!#REF!="Mayor"),CONCATENATE("R9C",'Mapa final'!#REF!),"")</f>
        <v>#REF!</v>
      </c>
      <c r="AD44" s="52" t="e">
        <f>IF(AND('Mapa final'!#REF!="Baja",'Mapa final'!#REF!="Mayor"),CONCATENATE("R9C",'Mapa final'!#REF!),"")</f>
        <v>#REF!</v>
      </c>
      <c r="AE44" s="52" t="e">
        <f>IF(AND('Mapa final'!#REF!="Baja",'Mapa final'!#REF!="Mayor"),CONCATENATE("R9C",'Mapa final'!#REF!),"")</f>
        <v>#REF!</v>
      </c>
      <c r="AF44" s="52" t="e">
        <f>IF(AND('Mapa final'!#REF!="Baja",'Mapa final'!#REF!="Mayor"),CONCATENATE("R9C",'Mapa final'!#REF!),"")</f>
        <v>#REF!</v>
      </c>
      <c r="AG44" s="53" t="e">
        <f>IF(AND('Mapa final'!#REF!="Baja",'Mapa final'!#REF!="Mayor"),CONCATENATE("R9C",'Mapa final'!#REF!),"")</f>
        <v>#REF!</v>
      </c>
      <c r="AH44" s="54" t="str">
        <f>IF(AND('Mapa final'!$Z$37="Baja",'Mapa final'!$AB$37="Catastrófico"),CONCATENATE("R9C",'Mapa final'!$P$37),"")</f>
        <v/>
      </c>
      <c r="AI44" s="55" t="e">
        <f>IF(AND('Mapa final'!#REF!="Baja",'Mapa final'!#REF!="Catastrófico"),CONCATENATE("R9C",'Mapa final'!#REF!),"")</f>
        <v>#REF!</v>
      </c>
      <c r="AJ44" s="55" t="e">
        <f>IF(AND('Mapa final'!#REF!="Baja",'Mapa final'!#REF!="Catastrófico"),CONCATENATE("R9C",'Mapa final'!#REF!),"")</f>
        <v>#REF!</v>
      </c>
      <c r="AK44" s="55" t="e">
        <f>IF(AND('Mapa final'!#REF!="Baja",'Mapa final'!#REF!="Catastrófico"),CONCATENATE("R9C",'Mapa final'!#REF!),"")</f>
        <v>#REF!</v>
      </c>
      <c r="AL44" s="55" t="e">
        <f>IF(AND('Mapa final'!#REF!="Baja",'Mapa final'!#REF!="Catastrófico"),CONCATENATE("R9C",'Mapa final'!#REF!),"")</f>
        <v>#REF!</v>
      </c>
      <c r="AM44" s="56" t="e">
        <f>IF(AND('Mapa final'!#REF!="Baja",'Mapa final'!#REF!="Catastrófico"),CONCATENATE("R9C",'Mapa final'!#REF!),"")</f>
        <v>#REF!</v>
      </c>
      <c r="AN44" s="82"/>
      <c r="AO44" s="434"/>
      <c r="AP44" s="435"/>
      <c r="AQ44" s="435"/>
      <c r="AR44" s="435"/>
      <c r="AS44" s="435"/>
      <c r="AT44" s="436"/>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315"/>
      <c r="C45" s="315"/>
      <c r="D45" s="316"/>
      <c r="E45" s="415"/>
      <c r="F45" s="416"/>
      <c r="G45" s="416"/>
      <c r="H45" s="416"/>
      <c r="I45" s="416"/>
      <c r="J45" s="78" t="str">
        <f>IF(AND('Mapa final'!$Z$38="Baja",'Mapa final'!$AB$38="Leve"),CONCATENATE("R10C",'Mapa final'!$P$38),"")</f>
        <v/>
      </c>
      <c r="K45" s="79" t="e">
        <f>IF(AND('Mapa final'!#REF!="Baja",'Mapa final'!#REF!="Leve"),CONCATENATE("R10C",'Mapa final'!#REF!),"")</f>
        <v>#REF!</v>
      </c>
      <c r="L45" s="79" t="e">
        <f>IF(AND('Mapa final'!#REF!="Baja",'Mapa final'!#REF!="Leve"),CONCATENATE("R10C",'Mapa final'!#REF!),"")</f>
        <v>#REF!</v>
      </c>
      <c r="M45" s="79" t="e">
        <f>IF(AND('Mapa final'!#REF!="Baja",'Mapa final'!#REF!="Leve"),CONCATENATE("R10C",'Mapa final'!#REF!),"")</f>
        <v>#REF!</v>
      </c>
      <c r="N45" s="79" t="e">
        <f>IF(AND('Mapa final'!#REF!="Baja",'Mapa final'!#REF!="Leve"),CONCATENATE("R10C",'Mapa final'!#REF!),"")</f>
        <v>#REF!</v>
      </c>
      <c r="O45" s="80" t="e">
        <f>IF(AND('Mapa final'!#REF!="Baja",'Mapa final'!#REF!="Leve"),CONCATENATE("R10C",'Mapa final'!#REF!),"")</f>
        <v>#REF!</v>
      </c>
      <c r="P45" s="66" t="str">
        <f>IF(AND('Mapa final'!$Z$38="Baja",'Mapa final'!$AB$38="Menor"),CONCATENATE("R10C",'Mapa final'!$P$38),"")</f>
        <v/>
      </c>
      <c r="Q45" s="67" t="e">
        <f>IF(AND('Mapa final'!#REF!="Baja",'Mapa final'!#REF!="Menor"),CONCATENATE("R10C",'Mapa final'!#REF!),"")</f>
        <v>#REF!</v>
      </c>
      <c r="R45" s="67" t="e">
        <f>IF(AND('Mapa final'!#REF!="Baja",'Mapa final'!#REF!="Menor"),CONCATENATE("R10C",'Mapa final'!#REF!),"")</f>
        <v>#REF!</v>
      </c>
      <c r="S45" s="67" t="e">
        <f>IF(AND('Mapa final'!#REF!="Baja",'Mapa final'!#REF!="Menor"),CONCATENATE("R10C",'Mapa final'!#REF!),"")</f>
        <v>#REF!</v>
      </c>
      <c r="T45" s="67" t="e">
        <f>IF(AND('Mapa final'!#REF!="Baja",'Mapa final'!#REF!="Menor"),CONCATENATE("R10C",'Mapa final'!#REF!),"")</f>
        <v>#REF!</v>
      </c>
      <c r="U45" s="68" t="e">
        <f>IF(AND('Mapa final'!#REF!="Baja",'Mapa final'!#REF!="Menor"),CONCATENATE("R10C",'Mapa final'!#REF!),"")</f>
        <v>#REF!</v>
      </c>
      <c r="V45" s="69" t="str">
        <f>IF(AND('Mapa final'!$Z$38="Baja",'Mapa final'!$AB$38="Moderado"),CONCATENATE("R10C",'Mapa final'!$P$38),"")</f>
        <v/>
      </c>
      <c r="W45" s="70" t="e">
        <f>IF(AND('Mapa final'!#REF!="Baja",'Mapa final'!#REF!="Moderado"),CONCATENATE("R10C",'Mapa final'!#REF!),"")</f>
        <v>#REF!</v>
      </c>
      <c r="X45" s="70" t="e">
        <f>IF(AND('Mapa final'!#REF!="Baja",'Mapa final'!#REF!="Moderado"),CONCATENATE("R10C",'Mapa final'!#REF!),"")</f>
        <v>#REF!</v>
      </c>
      <c r="Y45" s="70" t="e">
        <f>IF(AND('Mapa final'!#REF!="Baja",'Mapa final'!#REF!="Moderado"),CONCATENATE("R10C",'Mapa final'!#REF!),"")</f>
        <v>#REF!</v>
      </c>
      <c r="Z45" s="70" t="e">
        <f>IF(AND('Mapa final'!#REF!="Baja",'Mapa final'!#REF!="Moderado"),CONCATENATE("R10C",'Mapa final'!#REF!),"")</f>
        <v>#REF!</v>
      </c>
      <c r="AA45" s="71" t="e">
        <f>IF(AND('Mapa final'!#REF!="Baja",'Mapa final'!#REF!="Moderado"),CONCATENATE("R10C",'Mapa final'!#REF!),"")</f>
        <v>#REF!</v>
      </c>
      <c r="AB45" s="57" t="str">
        <f>IF(AND('Mapa final'!$Z$38="Baja",'Mapa final'!$AB$38="Mayor"),CONCATENATE("R10C",'Mapa final'!$P$38),"")</f>
        <v/>
      </c>
      <c r="AC45" s="58" t="e">
        <f>IF(AND('Mapa final'!#REF!="Baja",'Mapa final'!#REF!="Mayor"),CONCATENATE("R10C",'Mapa final'!#REF!),"")</f>
        <v>#REF!</v>
      </c>
      <c r="AD45" s="58" t="e">
        <f>IF(AND('Mapa final'!#REF!="Baja",'Mapa final'!#REF!="Mayor"),CONCATENATE("R10C",'Mapa final'!#REF!),"")</f>
        <v>#REF!</v>
      </c>
      <c r="AE45" s="58" t="e">
        <f>IF(AND('Mapa final'!#REF!="Baja",'Mapa final'!#REF!="Mayor"),CONCATENATE("R10C",'Mapa final'!#REF!),"")</f>
        <v>#REF!</v>
      </c>
      <c r="AF45" s="58" t="e">
        <f>IF(AND('Mapa final'!#REF!="Baja",'Mapa final'!#REF!="Mayor"),CONCATENATE("R10C",'Mapa final'!#REF!),"")</f>
        <v>#REF!</v>
      </c>
      <c r="AG45" s="59" t="e">
        <f>IF(AND('Mapa final'!#REF!="Baja",'Mapa final'!#REF!="Mayor"),CONCATENATE("R10C",'Mapa final'!#REF!),"")</f>
        <v>#REF!</v>
      </c>
      <c r="AH45" s="60" t="str">
        <f>IF(AND('Mapa final'!$Z$38="Baja",'Mapa final'!$AB$38="Catastrófico"),CONCATENATE("R10C",'Mapa final'!$P$38),"")</f>
        <v/>
      </c>
      <c r="AI45" s="61" t="e">
        <f>IF(AND('Mapa final'!#REF!="Baja",'Mapa final'!#REF!="Catastrófico"),CONCATENATE("R10C",'Mapa final'!#REF!),"")</f>
        <v>#REF!</v>
      </c>
      <c r="AJ45" s="61" t="e">
        <f>IF(AND('Mapa final'!#REF!="Baja",'Mapa final'!#REF!="Catastrófico"),CONCATENATE("R10C",'Mapa final'!#REF!),"")</f>
        <v>#REF!</v>
      </c>
      <c r="AK45" s="61" t="e">
        <f>IF(AND('Mapa final'!#REF!="Baja",'Mapa final'!#REF!="Catastrófico"),CONCATENATE("R10C",'Mapa final'!#REF!),"")</f>
        <v>#REF!</v>
      </c>
      <c r="AL45" s="61" t="e">
        <f>IF(AND('Mapa final'!#REF!="Baja",'Mapa final'!#REF!="Catastrófico"),CONCATENATE("R10C",'Mapa final'!#REF!),"")</f>
        <v>#REF!</v>
      </c>
      <c r="AM45" s="62" t="e">
        <f>IF(AND('Mapa final'!#REF!="Baja",'Mapa final'!#REF!="Catastrófico"),CONCATENATE("R10C",'Mapa final'!#REF!),"")</f>
        <v>#REF!</v>
      </c>
      <c r="AN45" s="82"/>
      <c r="AO45" s="437"/>
      <c r="AP45" s="438"/>
      <c r="AQ45" s="438"/>
      <c r="AR45" s="438"/>
      <c r="AS45" s="438"/>
      <c r="AT45" s="439"/>
    </row>
    <row r="46" spans="1:80" ht="46.5" customHeight="1" x14ac:dyDescent="0.35">
      <c r="A46" s="82"/>
      <c r="B46" s="315"/>
      <c r="C46" s="315"/>
      <c r="D46" s="316"/>
      <c r="E46" s="410" t="s">
        <v>112</v>
      </c>
      <c r="F46" s="411"/>
      <c r="G46" s="411"/>
      <c r="H46" s="411"/>
      <c r="I46" s="428"/>
      <c r="J46" s="72" t="str">
        <f>IF(AND('Mapa final'!$Z$10="Muy Baja",'Mapa final'!$AB$10="Leve"),CONCATENATE("R1C",'Mapa final'!$P$10),"")</f>
        <v/>
      </c>
      <c r="K46" s="73" t="str">
        <f>IF(AND('Mapa final'!$Z$11="Muy Baja",'Mapa final'!$AB$11="Leve"),CONCATENATE("R1C",'Mapa final'!$P$11),"")</f>
        <v>R1C2</v>
      </c>
      <c r="L46" s="73" t="str">
        <f>IF(AND('Mapa final'!$Z$12="Muy Baja",'Mapa final'!$AB$12="Leve"),CONCATENATE("R1C",'Mapa final'!$P$12),"")</f>
        <v>R1C3</v>
      </c>
      <c r="M46" s="73" t="e">
        <f>IF(AND('Mapa final'!#REF!="Muy Baja",'Mapa final'!#REF!="Leve"),CONCATENATE("R1C",'Mapa final'!#REF!),"")</f>
        <v>#REF!</v>
      </c>
      <c r="N46" s="73" t="e">
        <f>IF(AND('Mapa final'!#REF!="Muy Baja",'Mapa final'!#REF!="Leve"),CONCATENATE("R1C",'Mapa final'!#REF!),"")</f>
        <v>#REF!</v>
      </c>
      <c r="O46" s="74" t="e">
        <f>IF(AND('Mapa final'!#REF!="Muy Baja",'Mapa final'!#REF!="Leve"),CONCATENATE("R1C",'Mapa final'!#REF!),"")</f>
        <v>#REF!</v>
      </c>
      <c r="P46" s="72" t="str">
        <f>IF(AND('Mapa final'!$Z$10="Muy Baja",'Mapa final'!$AB$10="Menor"),CONCATENATE("R1C",'Mapa final'!$P$10),"")</f>
        <v/>
      </c>
      <c r="Q46" s="73" t="str">
        <f>IF(AND('Mapa final'!$Z$11="Muy Baja",'Mapa final'!$AB$11="Menor"),CONCATENATE("R1C",'Mapa final'!$P$11),"")</f>
        <v/>
      </c>
      <c r="R46" s="73" t="str">
        <f>IF(AND('Mapa final'!$Z$12="Muy Baja",'Mapa final'!$AB$12="Menor"),CONCATENATE("R1C",'Mapa final'!$P$12),"")</f>
        <v/>
      </c>
      <c r="S46" s="73" t="e">
        <f>IF(AND('Mapa final'!#REF!="Muy Baja",'Mapa final'!#REF!="Menor"),CONCATENATE("R1C",'Mapa final'!#REF!),"")</f>
        <v>#REF!</v>
      </c>
      <c r="T46" s="73" t="e">
        <f>IF(AND('Mapa final'!#REF!="Muy Baja",'Mapa final'!#REF!="Menor"),CONCATENATE("R1C",'Mapa final'!#REF!),"")</f>
        <v>#REF!</v>
      </c>
      <c r="U46" s="74" t="e">
        <f>IF(AND('Mapa final'!#REF!="Muy Baja",'Mapa final'!#REF!="Menor"),CONCATENATE("R1C",'Mapa final'!#REF!),"")</f>
        <v>#REF!</v>
      </c>
      <c r="V46" s="63" t="str">
        <f>IF(AND('Mapa final'!$Z$10="Muy Baja",'Mapa final'!$AB$10="Moderado"),CONCATENATE("R1C",'Mapa final'!$P$10),"")</f>
        <v/>
      </c>
      <c r="W46" s="81" t="str">
        <f>IF(AND('Mapa final'!$Z$11="Muy Baja",'Mapa final'!$AB$11="Moderado"),CONCATENATE("R1C",'Mapa final'!$P$11),"")</f>
        <v/>
      </c>
      <c r="X46" s="64" t="str">
        <f>IF(AND('Mapa final'!$Z$12="Muy Baja",'Mapa final'!$AB$12="Moderado"),CONCATENATE("R1C",'Mapa final'!$P$12),"")</f>
        <v/>
      </c>
      <c r="Y46" s="64" t="e">
        <f>IF(AND('Mapa final'!#REF!="Muy Baja",'Mapa final'!#REF!="Moderado"),CONCATENATE("R1C",'Mapa final'!#REF!),"")</f>
        <v>#REF!</v>
      </c>
      <c r="Z46" s="64" t="e">
        <f>IF(AND('Mapa final'!#REF!="Muy Baja",'Mapa final'!#REF!="Moderado"),CONCATENATE("R1C",'Mapa final'!#REF!),"")</f>
        <v>#REF!</v>
      </c>
      <c r="AA46" s="65" t="e">
        <f>IF(AND('Mapa final'!#REF!="Muy Baja",'Mapa final'!#REF!="Moderado"),CONCATENATE("R1C",'Mapa final'!#REF!),"")</f>
        <v>#REF!</v>
      </c>
      <c r="AB46" s="45" t="str">
        <f>IF(AND('Mapa final'!$Z$10="Muy Baja",'Mapa final'!$AB$10="Mayor"),CONCATENATE("R1C",'Mapa final'!$P$10),"")</f>
        <v/>
      </c>
      <c r="AC46" s="46" t="str">
        <f>IF(AND('Mapa final'!$Z$11="Muy Baja",'Mapa final'!$AB$11="Mayor"),CONCATENATE("R1C",'Mapa final'!$P$11),"")</f>
        <v/>
      </c>
      <c r="AD46" s="46" t="str">
        <f>IF(AND('Mapa final'!$Z$12="Muy Baja",'Mapa final'!$AB$12="Mayor"),CONCATENATE("R1C",'Mapa final'!$P$12),"")</f>
        <v/>
      </c>
      <c r="AE46" s="46" t="e">
        <f>IF(AND('Mapa final'!#REF!="Muy Baja",'Mapa final'!#REF!="Mayor"),CONCATENATE("R1C",'Mapa final'!#REF!),"")</f>
        <v>#REF!</v>
      </c>
      <c r="AF46" s="46" t="e">
        <f>IF(AND('Mapa final'!#REF!="Muy Baja",'Mapa final'!#REF!="Mayor"),CONCATENATE("R1C",'Mapa final'!#REF!),"")</f>
        <v>#REF!</v>
      </c>
      <c r="AG46" s="47" t="e">
        <f>IF(AND('Mapa final'!#REF!="Muy Baja",'Mapa final'!#REF!="Mayor"),CONCATENATE("R1C",'Mapa final'!#REF!),"")</f>
        <v>#REF!</v>
      </c>
      <c r="AH46" s="48" t="str">
        <f>IF(AND('Mapa final'!$Z$10="Muy Baja",'Mapa final'!$AB$10="Catastrófico"),CONCATENATE("R1C",'Mapa final'!$P$10),"")</f>
        <v/>
      </c>
      <c r="AI46" s="49" t="str">
        <f>IF(AND('Mapa final'!$Z$11="Muy Baja",'Mapa final'!$AB$11="Catastrófico"),CONCATENATE("R1C",'Mapa final'!$P$11),"")</f>
        <v/>
      </c>
      <c r="AJ46" s="49" t="str">
        <f>IF(AND('Mapa final'!$Z$12="Muy Baja",'Mapa final'!$AB$12="Catastrófico"),CONCATENATE("R1C",'Mapa final'!$P$12),"")</f>
        <v/>
      </c>
      <c r="AK46" s="49" t="e">
        <f>IF(AND('Mapa final'!#REF!="Muy Baja",'Mapa final'!#REF!="Catastrófico"),CONCATENATE("R1C",'Mapa final'!#REF!),"")</f>
        <v>#REF!</v>
      </c>
      <c r="AL46" s="49" t="e">
        <f>IF(AND('Mapa final'!#REF!="Muy Baja",'Mapa final'!#REF!="Catastrófico"),CONCATENATE("R1C",'Mapa final'!#REF!),"")</f>
        <v>#REF!</v>
      </c>
      <c r="AM46" s="50" t="e">
        <f>IF(AND('Mapa final'!#REF!="Muy Baja",'Mapa final'!#REF!="Catastrófico"),CONCATENATE("R1C",'Mapa final'!#REF!),"")</f>
        <v>#REF!</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315"/>
      <c r="C47" s="315"/>
      <c r="D47" s="316"/>
      <c r="E47" s="412"/>
      <c r="F47" s="413"/>
      <c r="G47" s="413"/>
      <c r="H47" s="413"/>
      <c r="I47" s="429"/>
      <c r="J47" s="75" t="str">
        <f>IF(AND('Mapa final'!$Z$13="Muy Baja",'Mapa final'!$AB$13="Leve"),CONCATENATE("R2C",'Mapa final'!$P$13),"")</f>
        <v>R2C1</v>
      </c>
      <c r="K47" s="76" t="str">
        <f>IF(AND('Mapa final'!$Z$14="Muy Baja",'Mapa final'!$AB$14="Leve"),CONCATENATE("R2C",'Mapa final'!$P$14),"")</f>
        <v>R2C2</v>
      </c>
      <c r="L47" s="76" t="str">
        <f>IF(AND('Mapa final'!$Z$15="Muy Baja",'Mapa final'!$AB$15="Leve"),CONCATENATE("R2C",'Mapa final'!$P$15),"")</f>
        <v>R2C3</v>
      </c>
      <c r="M47" s="76" t="str">
        <f>IF(AND('Mapa final'!$Z$16="Muy Baja",'Mapa final'!$AB$16="Leve"),CONCATENATE("R2C",'Mapa final'!$P$16),"")</f>
        <v>R2C4</v>
      </c>
      <c r="N47" s="76" t="e">
        <f>IF(AND('Mapa final'!#REF!="Muy Baja",'Mapa final'!#REF!="Leve"),CONCATENATE("R2C",'Mapa final'!#REF!),"")</f>
        <v>#REF!</v>
      </c>
      <c r="O47" s="77" t="e">
        <f>IF(AND('Mapa final'!#REF!="Muy Baja",'Mapa final'!#REF!="Leve"),CONCATENATE("R2C",'Mapa final'!#REF!),"")</f>
        <v>#REF!</v>
      </c>
      <c r="P47" s="75" t="str">
        <f>IF(AND('Mapa final'!$Z$13="Muy Baja",'Mapa final'!$AB$13="Menor"),CONCATENATE("R2C",'Mapa final'!$P$13),"")</f>
        <v/>
      </c>
      <c r="Q47" s="76" t="str">
        <f>IF(AND('Mapa final'!$Z$14="Muy Baja",'Mapa final'!$AB$14="Menor"),CONCATENATE("R2C",'Mapa final'!$P$14),"")</f>
        <v/>
      </c>
      <c r="R47" s="76" t="str">
        <f>IF(AND('Mapa final'!$Z$15="Muy Baja",'Mapa final'!$AB$15="Menor"),CONCATENATE("R2C",'Mapa final'!$P$15),"")</f>
        <v/>
      </c>
      <c r="S47" s="76" t="str">
        <f>IF(AND('Mapa final'!$Z$16="Muy Baja",'Mapa final'!$AB$16="Menor"),CONCATENATE("R2C",'Mapa final'!$P$16),"")</f>
        <v/>
      </c>
      <c r="T47" s="76" t="e">
        <f>IF(AND('Mapa final'!#REF!="Muy Baja",'Mapa final'!#REF!="Menor"),CONCATENATE("R2C",'Mapa final'!#REF!),"")</f>
        <v>#REF!</v>
      </c>
      <c r="U47" s="77" t="e">
        <f>IF(AND('Mapa final'!#REF!="Muy Baja",'Mapa final'!#REF!="Menor"),CONCATENATE("R2C",'Mapa final'!#REF!),"")</f>
        <v>#REF!</v>
      </c>
      <c r="V47" s="66" t="str">
        <f>IF(AND('Mapa final'!$Z$13="Muy Baja",'Mapa final'!$AB$13="Moderado"),CONCATENATE("R2C",'Mapa final'!$P$13),"")</f>
        <v/>
      </c>
      <c r="W47" s="67" t="str">
        <f>IF(AND('Mapa final'!$Z$14="Muy Baja",'Mapa final'!$AB$14="Moderado"),CONCATENATE("R2C",'Mapa final'!$P$14),"")</f>
        <v/>
      </c>
      <c r="X47" s="67" t="str">
        <f>IF(AND('Mapa final'!$Z$15="Muy Baja",'Mapa final'!$AB$15="Moderado"),CONCATENATE("R2C",'Mapa final'!$P$15),"")</f>
        <v/>
      </c>
      <c r="Y47" s="67" t="str">
        <f>IF(AND('Mapa final'!$Z$16="Muy Baja",'Mapa final'!$AB$16="Moderado"),CONCATENATE("R2C",'Mapa final'!$P$16),"")</f>
        <v/>
      </c>
      <c r="Z47" s="67" t="e">
        <f>IF(AND('Mapa final'!#REF!="Muy Baja",'Mapa final'!#REF!="Moderado"),CONCATENATE("R2C",'Mapa final'!#REF!),"")</f>
        <v>#REF!</v>
      </c>
      <c r="AA47" s="68" t="e">
        <f>IF(AND('Mapa final'!#REF!="Muy Baja",'Mapa final'!#REF!="Moderado"),CONCATENATE("R2C",'Mapa final'!#REF!),"")</f>
        <v>#REF!</v>
      </c>
      <c r="AB47" s="51" t="str">
        <f>IF(AND('Mapa final'!$Z$13="Muy Baja",'Mapa final'!$AB$13="Mayor"),CONCATENATE("R2C",'Mapa final'!$P$13),"")</f>
        <v/>
      </c>
      <c r="AC47" s="52" t="str">
        <f>IF(AND('Mapa final'!$Z$14="Muy Baja",'Mapa final'!$AB$14="Mayor"),CONCATENATE("R2C",'Mapa final'!$P$14),"")</f>
        <v/>
      </c>
      <c r="AD47" s="52" t="str">
        <f>IF(AND('Mapa final'!$Z$15="Muy Baja",'Mapa final'!$AB$15="Mayor"),CONCATENATE("R2C",'Mapa final'!$P$15),"")</f>
        <v/>
      </c>
      <c r="AE47" s="52" t="str">
        <f>IF(AND('Mapa final'!$Z$16="Muy Baja",'Mapa final'!$AB$16="Mayor"),CONCATENATE("R2C",'Mapa final'!$P$16),"")</f>
        <v/>
      </c>
      <c r="AF47" s="52" t="e">
        <f>IF(AND('Mapa final'!#REF!="Muy Baja",'Mapa final'!#REF!="Mayor"),CONCATENATE("R2C",'Mapa final'!#REF!),"")</f>
        <v>#REF!</v>
      </c>
      <c r="AG47" s="53" t="e">
        <f>IF(AND('Mapa final'!#REF!="Muy Baja",'Mapa final'!#REF!="Mayor"),CONCATENATE("R2C",'Mapa final'!#REF!),"")</f>
        <v>#REF!</v>
      </c>
      <c r="AH47" s="54" t="str">
        <f>IF(AND('Mapa final'!$Z$13="Muy Baja",'Mapa final'!$AB$13="Catastrófico"),CONCATENATE("R2C",'Mapa final'!$P$13),"")</f>
        <v/>
      </c>
      <c r="AI47" s="55" t="str">
        <f>IF(AND('Mapa final'!$Z$14="Muy Baja",'Mapa final'!$AB$14="Catastrófico"),CONCATENATE("R2C",'Mapa final'!$P$14),"")</f>
        <v/>
      </c>
      <c r="AJ47" s="55" t="str">
        <f>IF(AND('Mapa final'!$Z$15="Muy Baja",'Mapa final'!$AB$15="Catastrófico"),CONCATENATE("R2C",'Mapa final'!$P$15),"")</f>
        <v/>
      </c>
      <c r="AK47" s="55" t="str">
        <f>IF(AND('Mapa final'!$Z$16="Muy Baja",'Mapa final'!$AB$16="Catastrófico"),CONCATENATE("R2C",'Mapa final'!$P$16),"")</f>
        <v/>
      </c>
      <c r="AL47" s="55" t="e">
        <f>IF(AND('Mapa final'!#REF!="Muy Baja",'Mapa final'!#REF!="Catastrófico"),CONCATENATE("R2C",'Mapa final'!#REF!),"")</f>
        <v>#REF!</v>
      </c>
      <c r="AM47" s="56" t="e">
        <f>IF(AND('Mapa final'!#REF!="Muy Baja",'Mapa final'!#REF!="Catastrófico"),CONCATENATE("R2C",'Mapa final'!#REF!),"")</f>
        <v>#REF!</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315"/>
      <c r="C48" s="315"/>
      <c r="D48" s="316"/>
      <c r="E48" s="412"/>
      <c r="F48" s="413"/>
      <c r="G48" s="413"/>
      <c r="H48" s="413"/>
      <c r="I48" s="429"/>
      <c r="J48" s="75" t="str">
        <f>IF(AND('Mapa final'!$Z$17="Muy Baja",'Mapa final'!$AB$17="Leve"),CONCATENATE("R3C",'Mapa final'!$P$17),"")</f>
        <v/>
      </c>
      <c r="K48" s="76" t="str">
        <f>IF(AND('Mapa final'!$Z$18="Muy Baja",'Mapa final'!$AB$18="Leve"),CONCATENATE("R3C",'Mapa final'!$P$18),"")</f>
        <v/>
      </c>
      <c r="L48" s="76" t="str">
        <f>IF(AND('Mapa final'!$Z$19="Muy Baja",'Mapa final'!$AB$19="Leve"),CONCATENATE("R3C",'Mapa final'!$P$19),"")</f>
        <v>R3C3</v>
      </c>
      <c r="M48" s="76" t="e">
        <f>IF(AND('Mapa final'!#REF!="Muy Baja",'Mapa final'!#REF!="Leve"),CONCATENATE("R3C",'Mapa final'!#REF!),"")</f>
        <v>#REF!</v>
      </c>
      <c r="N48" s="76" t="e">
        <f>IF(AND('Mapa final'!#REF!="Muy Baja",'Mapa final'!#REF!="Leve"),CONCATENATE("R3C",'Mapa final'!#REF!),"")</f>
        <v>#REF!</v>
      </c>
      <c r="O48" s="77" t="e">
        <f>IF(AND('Mapa final'!#REF!="Muy Baja",'Mapa final'!#REF!="Leve"),CONCATENATE("R3C",'Mapa final'!#REF!),"")</f>
        <v>#REF!</v>
      </c>
      <c r="P48" s="75" t="str">
        <f>IF(AND('Mapa final'!$Z$17="Muy Baja",'Mapa final'!$AB$17="Menor"),CONCATENATE("R3C",'Mapa final'!$P$17),"")</f>
        <v/>
      </c>
      <c r="Q48" s="76" t="str">
        <f>IF(AND('Mapa final'!$Z$18="Muy Baja",'Mapa final'!$AB$18="Menor"),CONCATENATE("R3C",'Mapa final'!$P$18),"")</f>
        <v/>
      </c>
      <c r="R48" s="76" t="str">
        <f>IF(AND('Mapa final'!$Z$19="Muy Baja",'Mapa final'!$AB$19="Menor"),CONCATENATE("R3C",'Mapa final'!$P$19),"")</f>
        <v/>
      </c>
      <c r="S48" s="76" t="e">
        <f>IF(AND('Mapa final'!#REF!="Muy Baja",'Mapa final'!#REF!="Menor"),CONCATENATE("R3C",'Mapa final'!#REF!),"")</f>
        <v>#REF!</v>
      </c>
      <c r="T48" s="76" t="e">
        <f>IF(AND('Mapa final'!#REF!="Muy Baja",'Mapa final'!#REF!="Menor"),CONCATENATE("R3C",'Mapa final'!#REF!),"")</f>
        <v>#REF!</v>
      </c>
      <c r="U48" s="77" t="e">
        <f>IF(AND('Mapa final'!#REF!="Muy Baja",'Mapa final'!#REF!="Menor"),CONCATENATE("R3C",'Mapa final'!#REF!),"")</f>
        <v>#REF!</v>
      </c>
      <c r="V48" s="66" t="str">
        <f>IF(AND('Mapa final'!$Z$17="Muy Baja",'Mapa final'!$AB$17="Moderado"),CONCATENATE("R3C",'Mapa final'!$P$17),"")</f>
        <v/>
      </c>
      <c r="W48" s="67" t="str">
        <f>IF(AND('Mapa final'!$Z$18="Muy Baja",'Mapa final'!$AB$18="Moderado"),CONCATENATE("R3C",'Mapa final'!$P$18),"")</f>
        <v/>
      </c>
      <c r="X48" s="67" t="str">
        <f>IF(AND('Mapa final'!$Z$19="Muy Baja",'Mapa final'!$AB$19="Moderado"),CONCATENATE("R3C",'Mapa final'!$P$19),"")</f>
        <v/>
      </c>
      <c r="Y48" s="67" t="e">
        <f>IF(AND('Mapa final'!#REF!="Muy Baja",'Mapa final'!#REF!="Moderado"),CONCATENATE("R3C",'Mapa final'!#REF!),"")</f>
        <v>#REF!</v>
      </c>
      <c r="Z48" s="67" t="e">
        <f>IF(AND('Mapa final'!#REF!="Muy Baja",'Mapa final'!#REF!="Moderado"),CONCATENATE("R3C",'Mapa final'!#REF!),"")</f>
        <v>#REF!</v>
      </c>
      <c r="AA48" s="68" t="e">
        <f>IF(AND('Mapa final'!#REF!="Muy Baja",'Mapa final'!#REF!="Moderado"),CONCATENATE("R3C",'Mapa final'!#REF!),"")</f>
        <v>#REF!</v>
      </c>
      <c r="AB48" s="51" t="str">
        <f>IF(AND('Mapa final'!$Z$17="Muy Baja",'Mapa final'!$AB$17="Mayor"),CONCATENATE("R3C",'Mapa final'!$P$17),"")</f>
        <v/>
      </c>
      <c r="AC48" s="52" t="str">
        <f>IF(AND('Mapa final'!$Z$18="Muy Baja",'Mapa final'!$AB$18="Mayor"),CONCATENATE("R3C",'Mapa final'!$P$18),"")</f>
        <v/>
      </c>
      <c r="AD48" s="52" t="str">
        <f>IF(AND('Mapa final'!$Z$19="Muy Baja",'Mapa final'!$AB$19="Mayor"),CONCATENATE("R3C",'Mapa final'!$P$19),"")</f>
        <v/>
      </c>
      <c r="AE48" s="52" t="e">
        <f>IF(AND('Mapa final'!#REF!="Muy Baja",'Mapa final'!#REF!="Mayor"),CONCATENATE("R3C",'Mapa final'!#REF!),"")</f>
        <v>#REF!</v>
      </c>
      <c r="AF48" s="52" t="e">
        <f>IF(AND('Mapa final'!#REF!="Muy Baja",'Mapa final'!#REF!="Mayor"),CONCATENATE("R3C",'Mapa final'!#REF!),"")</f>
        <v>#REF!</v>
      </c>
      <c r="AG48" s="53" t="e">
        <f>IF(AND('Mapa final'!#REF!="Muy Baja",'Mapa final'!#REF!="Mayor"),CONCATENATE("R3C",'Mapa final'!#REF!),"")</f>
        <v>#REF!</v>
      </c>
      <c r="AH48" s="54" t="str">
        <f>IF(AND('Mapa final'!$Z$17="Muy Baja",'Mapa final'!$AB$17="Catastrófico"),CONCATENATE("R3C",'Mapa final'!$P$17),"")</f>
        <v/>
      </c>
      <c r="AI48" s="55" t="str">
        <f>IF(AND('Mapa final'!$Z$18="Muy Baja",'Mapa final'!$AB$18="Catastrófico"),CONCATENATE("R3C",'Mapa final'!$P$18),"")</f>
        <v/>
      </c>
      <c r="AJ48" s="55" t="str">
        <f>IF(AND('Mapa final'!$Z$19="Muy Baja",'Mapa final'!$AB$19="Catastrófico"),CONCATENATE("R3C",'Mapa final'!$P$19),"")</f>
        <v/>
      </c>
      <c r="AK48" s="55" t="e">
        <f>IF(AND('Mapa final'!#REF!="Muy Baja",'Mapa final'!#REF!="Catastrófico"),CONCATENATE("R3C",'Mapa final'!#REF!),"")</f>
        <v>#REF!</v>
      </c>
      <c r="AL48" s="55" t="e">
        <f>IF(AND('Mapa final'!#REF!="Muy Baja",'Mapa final'!#REF!="Catastrófico"),CONCATENATE("R3C",'Mapa final'!#REF!),"")</f>
        <v>#REF!</v>
      </c>
      <c r="AM48" s="56" t="e">
        <f>IF(AND('Mapa final'!#REF!="Muy Baja",'Mapa final'!#REF!="Catastrófico"),CONCATENATE("R3C",'Mapa final'!#REF!),"")</f>
        <v>#REF!</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315"/>
      <c r="C49" s="315"/>
      <c r="D49" s="316"/>
      <c r="E49" s="414"/>
      <c r="F49" s="413"/>
      <c r="G49" s="413"/>
      <c r="H49" s="413"/>
      <c r="I49" s="429"/>
      <c r="J49" s="75" t="str">
        <f>IF(AND('Mapa final'!$Z$20="Muy Baja",'Mapa final'!$AB$20="Leve"),CONCATENATE("R4C",'Mapa final'!$P$20),"")</f>
        <v/>
      </c>
      <c r="K49" s="76" t="e">
        <f>IF(AND('Mapa final'!#REF!="Muy Baja",'Mapa final'!#REF!="Leve"),CONCATENATE("R4C",'Mapa final'!#REF!),"")</f>
        <v>#REF!</v>
      </c>
      <c r="L49" s="76" t="e">
        <f>IF(AND('Mapa final'!#REF!="Muy Baja",'Mapa final'!#REF!="Leve"),CONCATENATE("R4C",'Mapa final'!#REF!),"")</f>
        <v>#REF!</v>
      </c>
      <c r="M49" s="76" t="e">
        <f>IF(AND('Mapa final'!#REF!="Muy Baja",'Mapa final'!#REF!="Leve"),CONCATENATE("R4C",'Mapa final'!#REF!),"")</f>
        <v>#REF!</v>
      </c>
      <c r="N49" s="76" t="e">
        <f>IF(AND('Mapa final'!#REF!="Muy Baja",'Mapa final'!#REF!="Leve"),CONCATENATE("R4C",'Mapa final'!#REF!),"")</f>
        <v>#REF!</v>
      </c>
      <c r="O49" s="77" t="e">
        <f>IF(AND('Mapa final'!#REF!="Muy Baja",'Mapa final'!#REF!="Leve"),CONCATENATE("R4C",'Mapa final'!#REF!),"")</f>
        <v>#REF!</v>
      </c>
      <c r="P49" s="75" t="str">
        <f>IF(AND('Mapa final'!$Z$20="Muy Baja",'Mapa final'!$AB$20="Menor"),CONCATENATE("R4C",'Mapa final'!$P$20),"")</f>
        <v/>
      </c>
      <c r="Q49" s="76" t="e">
        <f>IF(AND('Mapa final'!#REF!="Muy Baja",'Mapa final'!#REF!="Menor"),CONCATENATE("R4C",'Mapa final'!#REF!),"")</f>
        <v>#REF!</v>
      </c>
      <c r="R49" s="76" t="e">
        <f>IF(AND('Mapa final'!#REF!="Muy Baja",'Mapa final'!#REF!="Menor"),CONCATENATE("R4C",'Mapa final'!#REF!),"")</f>
        <v>#REF!</v>
      </c>
      <c r="S49" s="76" t="e">
        <f>IF(AND('Mapa final'!#REF!="Muy Baja",'Mapa final'!#REF!="Menor"),CONCATENATE("R4C",'Mapa final'!#REF!),"")</f>
        <v>#REF!</v>
      </c>
      <c r="T49" s="76" t="e">
        <f>IF(AND('Mapa final'!#REF!="Muy Baja",'Mapa final'!#REF!="Menor"),CONCATENATE("R4C",'Mapa final'!#REF!),"")</f>
        <v>#REF!</v>
      </c>
      <c r="U49" s="77" t="e">
        <f>IF(AND('Mapa final'!#REF!="Muy Baja",'Mapa final'!#REF!="Menor"),CONCATENATE("R4C",'Mapa final'!#REF!),"")</f>
        <v>#REF!</v>
      </c>
      <c r="V49" s="66" t="str">
        <f>IF(AND('Mapa final'!$Z$20="Muy Baja",'Mapa final'!$AB$20="Moderado"),CONCATENATE("R4C",'Mapa final'!$P$20),"")</f>
        <v/>
      </c>
      <c r="W49" s="67" t="e">
        <f>IF(AND('Mapa final'!#REF!="Muy Baja",'Mapa final'!#REF!="Moderado"),CONCATENATE("R4C",'Mapa final'!#REF!),"")</f>
        <v>#REF!</v>
      </c>
      <c r="X49" s="67" t="e">
        <f>IF(AND('Mapa final'!#REF!="Muy Baja",'Mapa final'!#REF!="Moderado"),CONCATENATE("R4C",'Mapa final'!#REF!),"")</f>
        <v>#REF!</v>
      </c>
      <c r="Y49" s="67" t="e">
        <f>IF(AND('Mapa final'!#REF!="Muy Baja",'Mapa final'!#REF!="Moderado"),CONCATENATE("R4C",'Mapa final'!#REF!),"")</f>
        <v>#REF!</v>
      </c>
      <c r="Z49" s="67" t="e">
        <f>IF(AND('Mapa final'!#REF!="Muy Baja",'Mapa final'!#REF!="Moderado"),CONCATENATE("R4C",'Mapa final'!#REF!),"")</f>
        <v>#REF!</v>
      </c>
      <c r="AA49" s="68" t="e">
        <f>IF(AND('Mapa final'!#REF!="Muy Baja",'Mapa final'!#REF!="Moderado"),CONCATENATE("R4C",'Mapa final'!#REF!),"")</f>
        <v>#REF!</v>
      </c>
      <c r="AB49" s="51" t="str">
        <f>IF(AND('Mapa final'!$Z$20="Muy Baja",'Mapa final'!$AB$20="Mayor"),CONCATENATE("R4C",'Mapa final'!$P$20),"")</f>
        <v/>
      </c>
      <c r="AC49" s="52" t="e">
        <f>IF(AND('Mapa final'!#REF!="Muy Baja",'Mapa final'!#REF!="Mayor"),CONCATENATE("R4C",'Mapa final'!#REF!),"")</f>
        <v>#REF!</v>
      </c>
      <c r="AD49" s="52" t="e">
        <f>IF(AND('Mapa final'!#REF!="Muy Baja",'Mapa final'!#REF!="Mayor"),CONCATENATE("R4C",'Mapa final'!#REF!),"")</f>
        <v>#REF!</v>
      </c>
      <c r="AE49" s="52" t="e">
        <f>IF(AND('Mapa final'!#REF!="Muy Baja",'Mapa final'!#REF!="Mayor"),CONCATENATE("R4C",'Mapa final'!#REF!),"")</f>
        <v>#REF!</v>
      </c>
      <c r="AF49" s="52" t="e">
        <f>IF(AND('Mapa final'!#REF!="Muy Baja",'Mapa final'!#REF!="Mayor"),CONCATENATE("R4C",'Mapa final'!#REF!),"")</f>
        <v>#REF!</v>
      </c>
      <c r="AG49" s="53" t="e">
        <f>IF(AND('Mapa final'!#REF!="Muy Baja",'Mapa final'!#REF!="Mayor"),CONCATENATE("R4C",'Mapa final'!#REF!),"")</f>
        <v>#REF!</v>
      </c>
      <c r="AH49" s="54" t="str">
        <f>IF(AND('Mapa final'!$Z$20="Muy Baja",'Mapa final'!$AB$20="Catastrófico"),CONCATENATE("R4C",'Mapa final'!$P$20),"")</f>
        <v/>
      </c>
      <c r="AI49" s="55" t="e">
        <f>IF(AND('Mapa final'!#REF!="Muy Baja",'Mapa final'!#REF!="Catastrófico"),CONCATENATE("R4C",'Mapa final'!#REF!),"")</f>
        <v>#REF!</v>
      </c>
      <c r="AJ49" s="55" t="e">
        <f>IF(AND('Mapa final'!#REF!="Muy Baja",'Mapa final'!#REF!="Catastrófico"),CONCATENATE("R4C",'Mapa final'!#REF!),"")</f>
        <v>#REF!</v>
      </c>
      <c r="AK49" s="55" t="e">
        <f>IF(AND('Mapa final'!#REF!="Muy Baja",'Mapa final'!#REF!="Catastrófico"),CONCATENATE("R4C",'Mapa final'!#REF!),"")</f>
        <v>#REF!</v>
      </c>
      <c r="AL49" s="55" t="e">
        <f>IF(AND('Mapa final'!#REF!="Muy Baja",'Mapa final'!#REF!="Catastrófico"),CONCATENATE("R4C",'Mapa final'!#REF!),"")</f>
        <v>#REF!</v>
      </c>
      <c r="AM49" s="56" t="e">
        <f>IF(AND('Mapa final'!#REF!="Muy Baja",'Mapa final'!#REF!="Catastrófico"),CONCATENATE("R4C",'Mapa final'!#REF!),"")</f>
        <v>#REF!</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315"/>
      <c r="C50" s="315"/>
      <c r="D50" s="316"/>
      <c r="E50" s="414"/>
      <c r="F50" s="413"/>
      <c r="G50" s="413"/>
      <c r="H50" s="413"/>
      <c r="I50" s="429"/>
      <c r="J50" s="75" t="str">
        <f>IF(AND('Mapa final'!$Z$21="Muy Baja",'Mapa final'!$AB$21="Leve"),CONCATENATE("R5C",'Mapa final'!$P$21),"")</f>
        <v/>
      </c>
      <c r="K50" s="76" t="str">
        <f>IF(AND('Mapa final'!$Z$22="Muy Baja",'Mapa final'!$AB$22="Leve"),CONCATENATE("R5C",'Mapa final'!$P$22),"")</f>
        <v/>
      </c>
      <c r="L50" s="76" t="str">
        <f>IF(AND('Mapa final'!$Z$23="Muy Baja",'Mapa final'!$AB$23="Leve"),CONCATENATE("R5C",'Mapa final'!$P$23),"")</f>
        <v/>
      </c>
      <c r="M50" s="76" t="str">
        <f>IF(AND('Mapa final'!$Z$24="Muy Baja",'Mapa final'!$AB$24="Leve"),CONCATENATE("R5C",'Mapa final'!$P$24),"")</f>
        <v/>
      </c>
      <c r="N50" s="76" t="str">
        <f>IF(AND('Mapa final'!$Z$25="Muy Baja",'Mapa final'!$AB$25="Leve"),CONCATENATE("R5C",'Mapa final'!$P$25),"")</f>
        <v/>
      </c>
      <c r="O50" s="77" t="e">
        <f>IF(AND('Mapa final'!#REF!="Muy Baja",'Mapa final'!#REF!="Leve"),CONCATENATE("R5C",'Mapa final'!#REF!),"")</f>
        <v>#REF!</v>
      </c>
      <c r="P50" s="75" t="str">
        <f>IF(AND('Mapa final'!$Z$21="Muy Baja",'Mapa final'!$AB$21="Menor"),CONCATENATE("R5C",'Mapa final'!$P$21),"")</f>
        <v/>
      </c>
      <c r="Q50" s="76" t="str">
        <f>IF(AND('Mapa final'!$Z$22="Muy Baja",'Mapa final'!$AB$22="Menor"),CONCATENATE("R5C",'Mapa final'!$P$22),"")</f>
        <v/>
      </c>
      <c r="R50" s="76" t="str">
        <f>IF(AND('Mapa final'!$Z$23="Muy Baja",'Mapa final'!$AB$23="Menor"),CONCATENATE("R5C",'Mapa final'!$P$23),"")</f>
        <v/>
      </c>
      <c r="S50" s="76" t="str">
        <f>IF(AND('Mapa final'!$Z$24="Muy Baja",'Mapa final'!$AB$24="Menor"),CONCATENATE("R5C",'Mapa final'!$P$24),"")</f>
        <v/>
      </c>
      <c r="T50" s="76" t="str">
        <f>IF(AND('Mapa final'!$Z$25="Muy Baja",'Mapa final'!$AB$25="Menor"),CONCATENATE("R5C",'Mapa final'!$P$25),"")</f>
        <v/>
      </c>
      <c r="U50" s="77" t="e">
        <f>IF(AND('Mapa final'!#REF!="Muy Baja",'Mapa final'!#REF!="Menor"),CONCATENATE("R5C",'Mapa final'!#REF!),"")</f>
        <v>#REF!</v>
      </c>
      <c r="V50" s="66" t="str">
        <f>IF(AND('Mapa final'!$Z$21="Muy Baja",'Mapa final'!$AB$21="Moderado"),CONCATENATE("R5C",'Mapa final'!$P$21),"")</f>
        <v/>
      </c>
      <c r="W50" s="67" t="str">
        <f>IF(AND('Mapa final'!$Z$22="Muy Baja",'Mapa final'!$AB$22="Moderado"),CONCATENATE("R5C",'Mapa final'!$P$22),"")</f>
        <v/>
      </c>
      <c r="X50" s="67" t="str">
        <f>IF(AND('Mapa final'!$Z$23="Muy Baja",'Mapa final'!$AB$23="Moderado"),CONCATENATE("R5C",'Mapa final'!$P$23),"")</f>
        <v/>
      </c>
      <c r="Y50" s="67" t="str">
        <f>IF(AND('Mapa final'!$Z$24="Muy Baja",'Mapa final'!$AB$24="Moderado"),CONCATENATE("R5C",'Mapa final'!$P$24),"")</f>
        <v/>
      </c>
      <c r="Z50" s="67" t="str">
        <f>IF(AND('Mapa final'!$Z$25="Muy Baja",'Mapa final'!$AB$25="Moderado"),CONCATENATE("R5C",'Mapa final'!$P$25),"")</f>
        <v/>
      </c>
      <c r="AA50" s="68" t="e">
        <f>IF(AND('Mapa final'!#REF!="Muy Baja",'Mapa final'!#REF!="Moderado"),CONCATENATE("R5C",'Mapa final'!#REF!),"")</f>
        <v>#REF!</v>
      </c>
      <c r="AB50" s="51" t="str">
        <f>IF(AND('Mapa final'!$Z$21="Muy Baja",'Mapa final'!$AB$21="Mayor"),CONCATENATE("R5C",'Mapa final'!$P$21),"")</f>
        <v/>
      </c>
      <c r="AC50" s="52" t="str">
        <f>IF(AND('Mapa final'!$Z$22="Muy Baja",'Mapa final'!$AB$22="Mayor"),CONCATENATE("R5C",'Mapa final'!$P$22),"")</f>
        <v/>
      </c>
      <c r="AD50" s="52" t="str">
        <f>IF(AND('Mapa final'!$Z$23="Muy Baja",'Mapa final'!$AB$23="Mayor"),CONCATENATE("R5C",'Mapa final'!$P$23),"")</f>
        <v/>
      </c>
      <c r="AE50" s="52" t="str">
        <f>IF(AND('Mapa final'!$Z$24="Muy Baja",'Mapa final'!$AB$24="Mayor"),CONCATENATE("R5C",'Mapa final'!$P$24),"")</f>
        <v/>
      </c>
      <c r="AF50" s="52" t="str">
        <f>IF(AND('Mapa final'!$Z$25="Muy Baja",'Mapa final'!$AB$25="Mayor"),CONCATENATE("R5C",'Mapa final'!$P$25),"")</f>
        <v/>
      </c>
      <c r="AG50" s="53" t="e">
        <f>IF(AND('Mapa final'!#REF!="Muy Baja",'Mapa final'!#REF!="Mayor"),CONCATENATE("R5C",'Mapa final'!#REF!),"")</f>
        <v>#REF!</v>
      </c>
      <c r="AH50" s="54" t="str">
        <f>IF(AND('Mapa final'!$Z$21="Muy Baja",'Mapa final'!$AB$21="Catastrófico"),CONCATENATE("R5C",'Mapa final'!$P$21),"")</f>
        <v/>
      </c>
      <c r="AI50" s="55" t="str">
        <f>IF(AND('Mapa final'!$Z$22="Muy Baja",'Mapa final'!$AB$22="Catastrófico"),CONCATENATE("R5C",'Mapa final'!$P$22),"")</f>
        <v/>
      </c>
      <c r="AJ50" s="55" t="str">
        <f>IF(AND('Mapa final'!$Z$23="Muy Baja",'Mapa final'!$AB$23="Catastrófico"),CONCATENATE("R5C",'Mapa final'!$P$23),"")</f>
        <v/>
      </c>
      <c r="AK50" s="55" t="str">
        <f>IF(AND('Mapa final'!$Z$24="Muy Baja",'Mapa final'!$AB$24="Catastrófico"),CONCATENATE("R5C",'Mapa final'!$P$24),"")</f>
        <v/>
      </c>
      <c r="AL50" s="55" t="str">
        <f>IF(AND('Mapa final'!$Z$25="Muy Baja",'Mapa final'!$AB$25="Catastrófico"),CONCATENATE("R5C",'Mapa final'!$P$25),"")</f>
        <v/>
      </c>
      <c r="AM50" s="56" t="e">
        <f>IF(AND('Mapa final'!#REF!="Muy Baja",'Mapa final'!#REF!="Catastrófico"),CONCATENATE("R5C",'Mapa final'!#REF!),"")</f>
        <v>#REF!</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315"/>
      <c r="C51" s="315"/>
      <c r="D51" s="316"/>
      <c r="E51" s="414"/>
      <c r="F51" s="413"/>
      <c r="G51" s="413"/>
      <c r="H51" s="413"/>
      <c r="I51" s="429"/>
      <c r="J51" s="75" t="str">
        <f>IF(AND('Mapa final'!$Z$35="Muy Baja",'Mapa final'!$AB$35="Leve"),CONCATENATE("R6C",'Mapa final'!$P$35),"")</f>
        <v/>
      </c>
      <c r="K51" s="76" t="e">
        <f>IF(AND('Mapa final'!#REF!="Muy Baja",'Mapa final'!#REF!="Leve"),CONCATENATE("R6C",'Mapa final'!#REF!),"")</f>
        <v>#REF!</v>
      </c>
      <c r="L51" s="76" t="e">
        <f>IF(AND('Mapa final'!#REF!="Muy Baja",'Mapa final'!#REF!="Leve"),CONCATENATE("R6C",'Mapa final'!#REF!),"")</f>
        <v>#REF!</v>
      </c>
      <c r="M51" s="76" t="e">
        <f>IF(AND('Mapa final'!#REF!="Muy Baja",'Mapa final'!#REF!="Leve"),CONCATENATE("R6C",'Mapa final'!#REF!),"")</f>
        <v>#REF!</v>
      </c>
      <c r="N51" s="76" t="e">
        <f>IF(AND('Mapa final'!#REF!="Muy Baja",'Mapa final'!#REF!="Leve"),CONCATENATE("R6C",'Mapa final'!#REF!),"")</f>
        <v>#REF!</v>
      </c>
      <c r="O51" s="77" t="e">
        <f>IF(AND('Mapa final'!#REF!="Muy Baja",'Mapa final'!#REF!="Leve"),CONCATENATE("R6C",'Mapa final'!#REF!),"")</f>
        <v>#REF!</v>
      </c>
      <c r="P51" s="75" t="str">
        <f>IF(AND('Mapa final'!$Z$35="Muy Baja",'Mapa final'!$AB$35="Menor"),CONCATENATE("R6C",'Mapa final'!$P$35),"")</f>
        <v/>
      </c>
      <c r="Q51" s="76" t="e">
        <f>IF(AND('Mapa final'!#REF!="Muy Baja",'Mapa final'!#REF!="Menor"),CONCATENATE("R6C",'Mapa final'!#REF!),"")</f>
        <v>#REF!</v>
      </c>
      <c r="R51" s="76" t="e">
        <f>IF(AND('Mapa final'!#REF!="Muy Baja",'Mapa final'!#REF!="Menor"),CONCATENATE("R6C",'Mapa final'!#REF!),"")</f>
        <v>#REF!</v>
      </c>
      <c r="S51" s="76" t="e">
        <f>IF(AND('Mapa final'!#REF!="Muy Baja",'Mapa final'!#REF!="Menor"),CONCATENATE("R6C",'Mapa final'!#REF!),"")</f>
        <v>#REF!</v>
      </c>
      <c r="T51" s="76" t="e">
        <f>IF(AND('Mapa final'!#REF!="Muy Baja",'Mapa final'!#REF!="Menor"),CONCATENATE("R6C",'Mapa final'!#REF!),"")</f>
        <v>#REF!</v>
      </c>
      <c r="U51" s="77" t="e">
        <f>IF(AND('Mapa final'!#REF!="Muy Baja",'Mapa final'!#REF!="Menor"),CONCATENATE("R6C",'Mapa final'!#REF!),"")</f>
        <v>#REF!</v>
      </c>
      <c r="V51" s="66" t="str">
        <f>IF(AND('Mapa final'!$Z$35="Muy Baja",'Mapa final'!$AB$35="Moderado"),CONCATENATE("R6C",'Mapa final'!$P$35),"")</f>
        <v/>
      </c>
      <c r="W51" s="67" t="e">
        <f>IF(AND('Mapa final'!#REF!="Muy Baja",'Mapa final'!#REF!="Moderado"),CONCATENATE("R6C",'Mapa final'!#REF!),"")</f>
        <v>#REF!</v>
      </c>
      <c r="X51" s="67" t="e">
        <f>IF(AND('Mapa final'!#REF!="Muy Baja",'Mapa final'!#REF!="Moderado"),CONCATENATE("R6C",'Mapa final'!#REF!),"")</f>
        <v>#REF!</v>
      </c>
      <c r="Y51" s="67" t="e">
        <f>IF(AND('Mapa final'!#REF!="Muy Baja",'Mapa final'!#REF!="Moderado"),CONCATENATE("R6C",'Mapa final'!#REF!),"")</f>
        <v>#REF!</v>
      </c>
      <c r="Z51" s="67" t="e">
        <f>IF(AND('Mapa final'!#REF!="Muy Baja",'Mapa final'!#REF!="Moderado"),CONCATENATE("R6C",'Mapa final'!#REF!),"")</f>
        <v>#REF!</v>
      </c>
      <c r="AA51" s="68" t="e">
        <f>IF(AND('Mapa final'!#REF!="Muy Baja",'Mapa final'!#REF!="Moderado"),CONCATENATE("R6C",'Mapa final'!#REF!),"")</f>
        <v>#REF!</v>
      </c>
      <c r="AB51" s="51" t="str">
        <f>IF(AND('Mapa final'!$Z$35="Muy Baja",'Mapa final'!$AB$35="Mayor"),CONCATENATE("R6C",'Mapa final'!$P$35),"")</f>
        <v/>
      </c>
      <c r="AC51" s="52" t="e">
        <f>IF(AND('Mapa final'!#REF!="Muy Baja",'Mapa final'!#REF!="Mayor"),CONCATENATE("R6C",'Mapa final'!#REF!),"")</f>
        <v>#REF!</v>
      </c>
      <c r="AD51" s="52" t="e">
        <f>IF(AND('Mapa final'!#REF!="Muy Baja",'Mapa final'!#REF!="Mayor"),CONCATENATE("R6C",'Mapa final'!#REF!),"")</f>
        <v>#REF!</v>
      </c>
      <c r="AE51" s="52" t="e">
        <f>IF(AND('Mapa final'!#REF!="Muy Baja",'Mapa final'!#REF!="Mayor"),CONCATENATE("R6C",'Mapa final'!#REF!),"")</f>
        <v>#REF!</v>
      </c>
      <c r="AF51" s="52" t="e">
        <f>IF(AND('Mapa final'!#REF!="Muy Baja",'Mapa final'!#REF!="Mayor"),CONCATENATE("R6C",'Mapa final'!#REF!),"")</f>
        <v>#REF!</v>
      </c>
      <c r="AG51" s="53" t="e">
        <f>IF(AND('Mapa final'!#REF!="Muy Baja",'Mapa final'!#REF!="Mayor"),CONCATENATE("R6C",'Mapa final'!#REF!),"")</f>
        <v>#REF!</v>
      </c>
      <c r="AH51" s="54" t="str">
        <f>IF(AND('Mapa final'!$Z$35="Muy Baja",'Mapa final'!$AB$35="Catastrófico"),CONCATENATE("R6C",'Mapa final'!$P$35),"")</f>
        <v/>
      </c>
      <c r="AI51" s="55" t="e">
        <f>IF(AND('Mapa final'!#REF!="Muy Baja",'Mapa final'!#REF!="Catastrófico"),CONCATENATE("R6C",'Mapa final'!#REF!),"")</f>
        <v>#REF!</v>
      </c>
      <c r="AJ51" s="55" t="e">
        <f>IF(AND('Mapa final'!#REF!="Muy Baja",'Mapa final'!#REF!="Catastrófico"),CONCATENATE("R6C",'Mapa final'!#REF!),"")</f>
        <v>#REF!</v>
      </c>
      <c r="AK51" s="55" t="e">
        <f>IF(AND('Mapa final'!#REF!="Muy Baja",'Mapa final'!#REF!="Catastrófico"),CONCATENATE("R6C",'Mapa final'!#REF!),"")</f>
        <v>#REF!</v>
      </c>
      <c r="AL51" s="55" t="e">
        <f>IF(AND('Mapa final'!#REF!="Muy Baja",'Mapa final'!#REF!="Catastrófico"),CONCATENATE("R6C",'Mapa final'!#REF!),"")</f>
        <v>#REF!</v>
      </c>
      <c r="AM51" s="56" t="e">
        <f>IF(AND('Mapa final'!#REF!="Muy Baja",'Mapa final'!#REF!="Catastrófico"),CONCATENATE("R6C",'Mapa final'!#REF!),"")</f>
        <v>#REF!</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315"/>
      <c r="C52" s="315"/>
      <c r="D52" s="316"/>
      <c r="E52" s="414"/>
      <c r="F52" s="413"/>
      <c r="G52" s="413"/>
      <c r="H52" s="413"/>
      <c r="I52" s="429"/>
      <c r="J52" s="75" t="str">
        <f>IF(AND('Mapa final'!$Z$36="Muy Baja",'Mapa final'!$AB$36="Leve"),CONCATENATE("R7C",'Mapa final'!$P$36),"")</f>
        <v/>
      </c>
      <c r="K52" s="76" t="e">
        <f>IF(AND('Mapa final'!#REF!="Muy Baja",'Mapa final'!#REF!="Leve"),CONCATENATE("R7C",'Mapa final'!#REF!),"")</f>
        <v>#REF!</v>
      </c>
      <c r="L52" s="76" t="e">
        <f>IF(AND('Mapa final'!#REF!="Muy Baja",'Mapa final'!#REF!="Leve"),CONCATENATE("R7C",'Mapa final'!#REF!),"")</f>
        <v>#REF!</v>
      </c>
      <c r="M52" s="76" t="e">
        <f>IF(AND('Mapa final'!#REF!="Muy Baja",'Mapa final'!#REF!="Leve"),CONCATENATE("R7C",'Mapa final'!#REF!),"")</f>
        <v>#REF!</v>
      </c>
      <c r="N52" s="76" t="e">
        <f>IF(AND('Mapa final'!#REF!="Muy Baja",'Mapa final'!#REF!="Leve"),CONCATENATE("R7C",'Mapa final'!#REF!),"")</f>
        <v>#REF!</v>
      </c>
      <c r="O52" s="77" t="e">
        <f>IF(AND('Mapa final'!#REF!="Muy Baja",'Mapa final'!#REF!="Leve"),CONCATENATE("R7C",'Mapa final'!#REF!),"")</f>
        <v>#REF!</v>
      </c>
      <c r="P52" s="75" t="str">
        <f>IF(AND('Mapa final'!$Z$36="Muy Baja",'Mapa final'!$AB$36="Menor"),CONCATENATE("R7C",'Mapa final'!$P$36),"")</f>
        <v/>
      </c>
      <c r="Q52" s="76" t="e">
        <f>IF(AND('Mapa final'!#REF!="Muy Baja",'Mapa final'!#REF!="Menor"),CONCATENATE("R7C",'Mapa final'!#REF!),"")</f>
        <v>#REF!</v>
      </c>
      <c r="R52" s="76" t="e">
        <f>IF(AND('Mapa final'!#REF!="Muy Baja",'Mapa final'!#REF!="Menor"),CONCATENATE("R7C",'Mapa final'!#REF!),"")</f>
        <v>#REF!</v>
      </c>
      <c r="S52" s="76" t="e">
        <f>IF(AND('Mapa final'!#REF!="Muy Baja",'Mapa final'!#REF!="Menor"),CONCATENATE("R7C",'Mapa final'!#REF!),"")</f>
        <v>#REF!</v>
      </c>
      <c r="T52" s="76" t="e">
        <f>IF(AND('Mapa final'!#REF!="Muy Baja",'Mapa final'!#REF!="Menor"),CONCATENATE("R7C",'Mapa final'!#REF!),"")</f>
        <v>#REF!</v>
      </c>
      <c r="U52" s="77" t="e">
        <f>IF(AND('Mapa final'!#REF!="Muy Baja",'Mapa final'!#REF!="Menor"),CONCATENATE("R7C",'Mapa final'!#REF!),"")</f>
        <v>#REF!</v>
      </c>
      <c r="V52" s="66" t="str">
        <f>IF(AND('Mapa final'!$Z$36="Muy Baja",'Mapa final'!$AB$36="Moderado"),CONCATENATE("R7C",'Mapa final'!$P$36),"")</f>
        <v/>
      </c>
      <c r="W52" s="67" t="e">
        <f>IF(AND('Mapa final'!#REF!="Muy Baja",'Mapa final'!#REF!="Moderado"),CONCATENATE("R7C",'Mapa final'!#REF!),"")</f>
        <v>#REF!</v>
      </c>
      <c r="X52" s="67" t="e">
        <f>IF(AND('Mapa final'!#REF!="Muy Baja",'Mapa final'!#REF!="Moderado"),CONCATENATE("R7C",'Mapa final'!#REF!),"")</f>
        <v>#REF!</v>
      </c>
      <c r="Y52" s="67" t="e">
        <f>IF(AND('Mapa final'!#REF!="Muy Baja",'Mapa final'!#REF!="Moderado"),CONCATENATE("R7C",'Mapa final'!#REF!),"")</f>
        <v>#REF!</v>
      </c>
      <c r="Z52" s="67" t="e">
        <f>IF(AND('Mapa final'!#REF!="Muy Baja",'Mapa final'!#REF!="Moderado"),CONCATENATE("R7C",'Mapa final'!#REF!),"")</f>
        <v>#REF!</v>
      </c>
      <c r="AA52" s="68" t="e">
        <f>IF(AND('Mapa final'!#REF!="Muy Baja",'Mapa final'!#REF!="Moderado"),CONCATENATE("R7C",'Mapa final'!#REF!),"")</f>
        <v>#REF!</v>
      </c>
      <c r="AB52" s="51" t="str">
        <f>IF(AND('Mapa final'!$Z$36="Muy Baja",'Mapa final'!$AB$36="Mayor"),CONCATENATE("R7C",'Mapa final'!$P$36),"")</f>
        <v/>
      </c>
      <c r="AC52" s="52" t="e">
        <f>IF(AND('Mapa final'!#REF!="Muy Baja",'Mapa final'!#REF!="Mayor"),CONCATENATE("R7C",'Mapa final'!#REF!),"")</f>
        <v>#REF!</v>
      </c>
      <c r="AD52" s="52" t="e">
        <f>IF(AND('Mapa final'!#REF!="Muy Baja",'Mapa final'!#REF!="Mayor"),CONCATENATE("R7C",'Mapa final'!#REF!),"")</f>
        <v>#REF!</v>
      </c>
      <c r="AE52" s="52" t="e">
        <f>IF(AND('Mapa final'!#REF!="Muy Baja",'Mapa final'!#REF!="Mayor"),CONCATENATE("R7C",'Mapa final'!#REF!),"")</f>
        <v>#REF!</v>
      </c>
      <c r="AF52" s="52" t="e">
        <f>IF(AND('Mapa final'!#REF!="Muy Baja",'Mapa final'!#REF!="Mayor"),CONCATENATE("R7C",'Mapa final'!#REF!),"")</f>
        <v>#REF!</v>
      </c>
      <c r="AG52" s="53" t="e">
        <f>IF(AND('Mapa final'!#REF!="Muy Baja",'Mapa final'!#REF!="Mayor"),CONCATENATE("R7C",'Mapa final'!#REF!),"")</f>
        <v>#REF!</v>
      </c>
      <c r="AH52" s="54" t="str">
        <f>IF(AND('Mapa final'!$Z$36="Muy Baja",'Mapa final'!$AB$36="Catastrófico"),CONCATENATE("R7C",'Mapa final'!$P$36),"")</f>
        <v/>
      </c>
      <c r="AI52" s="55" t="e">
        <f>IF(AND('Mapa final'!#REF!="Muy Baja",'Mapa final'!#REF!="Catastrófico"),CONCATENATE("R7C",'Mapa final'!#REF!),"")</f>
        <v>#REF!</v>
      </c>
      <c r="AJ52" s="55" t="e">
        <f>IF(AND('Mapa final'!#REF!="Muy Baja",'Mapa final'!#REF!="Catastrófico"),CONCATENATE("R7C",'Mapa final'!#REF!),"")</f>
        <v>#REF!</v>
      </c>
      <c r="AK52" s="55" t="e">
        <f>IF(AND('Mapa final'!#REF!="Muy Baja",'Mapa final'!#REF!="Catastrófico"),CONCATENATE("R7C",'Mapa final'!#REF!),"")</f>
        <v>#REF!</v>
      </c>
      <c r="AL52" s="55" t="e">
        <f>IF(AND('Mapa final'!#REF!="Muy Baja",'Mapa final'!#REF!="Catastrófico"),CONCATENATE("R7C",'Mapa final'!#REF!),"")</f>
        <v>#REF!</v>
      </c>
      <c r="AM52" s="56" t="e">
        <f>IF(AND('Mapa final'!#REF!="Muy Baja",'Mapa final'!#REF!="Catastrófico"),CONCATENATE("R7C",'Mapa final'!#REF!),"")</f>
        <v>#REF!</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315"/>
      <c r="C53" s="315"/>
      <c r="D53" s="316"/>
      <c r="E53" s="414"/>
      <c r="F53" s="413"/>
      <c r="G53" s="413"/>
      <c r="H53" s="413"/>
      <c r="I53" s="429"/>
      <c r="J53" s="75" t="e">
        <f>IF(AND('Mapa final'!#REF!="Muy Baja",'Mapa final'!#REF!="Leve"),CONCATENATE("R8C",'Mapa final'!#REF!),"")</f>
        <v>#REF!</v>
      </c>
      <c r="K53" s="76" t="e">
        <f>IF(AND('Mapa final'!#REF!="Muy Baja",'Mapa final'!#REF!="Leve"),CONCATENATE("R8C",'Mapa final'!#REF!),"")</f>
        <v>#REF!</v>
      </c>
      <c r="L53" s="76" t="e">
        <f>IF(AND('Mapa final'!#REF!="Muy Baja",'Mapa final'!#REF!="Leve"),CONCATENATE("R8C",'Mapa final'!#REF!),"")</f>
        <v>#REF!</v>
      </c>
      <c r="M53" s="76" t="e">
        <f>IF(AND('Mapa final'!#REF!="Muy Baja",'Mapa final'!#REF!="Leve"),CONCATENATE("R8C",'Mapa final'!#REF!),"")</f>
        <v>#REF!</v>
      </c>
      <c r="N53" s="76" t="e">
        <f>IF(AND('Mapa final'!#REF!="Muy Baja",'Mapa final'!#REF!="Leve"),CONCATENATE("R8C",'Mapa final'!#REF!),"")</f>
        <v>#REF!</v>
      </c>
      <c r="O53" s="77" t="e">
        <f>IF(AND('Mapa final'!#REF!="Muy Baja",'Mapa final'!#REF!="Leve"),CONCATENATE("R8C",'Mapa final'!#REF!),"")</f>
        <v>#REF!</v>
      </c>
      <c r="P53" s="75" t="e">
        <f>IF(AND('Mapa final'!#REF!="Muy Baja",'Mapa final'!#REF!="Menor"),CONCATENATE("R8C",'Mapa final'!#REF!),"")</f>
        <v>#REF!</v>
      </c>
      <c r="Q53" s="76" t="e">
        <f>IF(AND('Mapa final'!#REF!="Muy Baja",'Mapa final'!#REF!="Menor"),CONCATENATE("R8C",'Mapa final'!#REF!),"")</f>
        <v>#REF!</v>
      </c>
      <c r="R53" s="76" t="e">
        <f>IF(AND('Mapa final'!#REF!="Muy Baja",'Mapa final'!#REF!="Menor"),CONCATENATE("R8C",'Mapa final'!#REF!),"")</f>
        <v>#REF!</v>
      </c>
      <c r="S53" s="76" t="e">
        <f>IF(AND('Mapa final'!#REF!="Muy Baja",'Mapa final'!#REF!="Menor"),CONCATENATE("R8C",'Mapa final'!#REF!),"")</f>
        <v>#REF!</v>
      </c>
      <c r="T53" s="76" t="e">
        <f>IF(AND('Mapa final'!#REF!="Muy Baja",'Mapa final'!#REF!="Menor"),CONCATENATE("R8C",'Mapa final'!#REF!),"")</f>
        <v>#REF!</v>
      </c>
      <c r="U53" s="77" t="e">
        <f>IF(AND('Mapa final'!#REF!="Muy Baja",'Mapa final'!#REF!="Menor"),CONCATENATE("R8C",'Mapa final'!#REF!),"")</f>
        <v>#REF!</v>
      </c>
      <c r="V53" s="66" t="e">
        <f>IF(AND('Mapa final'!#REF!="Muy Baja",'Mapa final'!#REF!="Moderado"),CONCATENATE("R8C",'Mapa final'!#REF!),"")</f>
        <v>#REF!</v>
      </c>
      <c r="W53" s="67" t="e">
        <f>IF(AND('Mapa final'!#REF!="Muy Baja",'Mapa final'!#REF!="Moderado"),CONCATENATE("R8C",'Mapa final'!#REF!),"")</f>
        <v>#REF!</v>
      </c>
      <c r="X53" s="67" t="e">
        <f>IF(AND('Mapa final'!#REF!="Muy Baja",'Mapa final'!#REF!="Moderado"),CONCATENATE("R8C",'Mapa final'!#REF!),"")</f>
        <v>#REF!</v>
      </c>
      <c r="Y53" s="67" t="e">
        <f>IF(AND('Mapa final'!#REF!="Muy Baja",'Mapa final'!#REF!="Moderado"),CONCATENATE("R8C",'Mapa final'!#REF!),"")</f>
        <v>#REF!</v>
      </c>
      <c r="Z53" s="67" t="e">
        <f>IF(AND('Mapa final'!#REF!="Muy Baja",'Mapa final'!#REF!="Moderado"),CONCATENATE("R8C",'Mapa final'!#REF!),"")</f>
        <v>#REF!</v>
      </c>
      <c r="AA53" s="68" t="e">
        <f>IF(AND('Mapa final'!#REF!="Muy Baja",'Mapa final'!#REF!="Moderado"),CONCATENATE("R8C",'Mapa final'!#REF!),"")</f>
        <v>#REF!</v>
      </c>
      <c r="AB53" s="51" t="e">
        <f>IF(AND('Mapa final'!#REF!="Muy Baja",'Mapa final'!#REF!="Mayor"),CONCATENATE("R8C",'Mapa final'!#REF!),"")</f>
        <v>#REF!</v>
      </c>
      <c r="AC53" s="52" t="e">
        <f>IF(AND('Mapa final'!#REF!="Muy Baja",'Mapa final'!#REF!="Mayor"),CONCATENATE("R8C",'Mapa final'!#REF!),"")</f>
        <v>#REF!</v>
      </c>
      <c r="AD53" s="52" t="e">
        <f>IF(AND('Mapa final'!#REF!="Muy Baja",'Mapa final'!#REF!="Mayor"),CONCATENATE("R8C",'Mapa final'!#REF!),"")</f>
        <v>#REF!</v>
      </c>
      <c r="AE53" s="52" t="e">
        <f>IF(AND('Mapa final'!#REF!="Muy Baja",'Mapa final'!#REF!="Mayor"),CONCATENATE("R8C",'Mapa final'!#REF!),"")</f>
        <v>#REF!</v>
      </c>
      <c r="AF53" s="52" t="e">
        <f>IF(AND('Mapa final'!#REF!="Muy Baja",'Mapa final'!#REF!="Mayor"),CONCATENATE("R8C",'Mapa final'!#REF!),"")</f>
        <v>#REF!</v>
      </c>
      <c r="AG53" s="53" t="e">
        <f>IF(AND('Mapa final'!#REF!="Muy Baja",'Mapa final'!#REF!="Mayor"),CONCATENATE("R8C",'Mapa final'!#REF!),"")</f>
        <v>#REF!</v>
      </c>
      <c r="AH53" s="54" t="e">
        <f>IF(AND('Mapa final'!#REF!="Muy Baja",'Mapa final'!#REF!="Catastrófico"),CONCATENATE("R8C",'Mapa final'!#REF!),"")</f>
        <v>#REF!</v>
      </c>
      <c r="AI53" s="55" t="e">
        <f>IF(AND('Mapa final'!#REF!="Muy Baja",'Mapa final'!#REF!="Catastrófico"),CONCATENATE("R8C",'Mapa final'!#REF!),"")</f>
        <v>#REF!</v>
      </c>
      <c r="AJ53" s="55" t="e">
        <f>IF(AND('Mapa final'!#REF!="Muy Baja",'Mapa final'!#REF!="Catastrófico"),CONCATENATE("R8C",'Mapa final'!#REF!),"")</f>
        <v>#REF!</v>
      </c>
      <c r="AK53" s="55" t="e">
        <f>IF(AND('Mapa final'!#REF!="Muy Baja",'Mapa final'!#REF!="Catastrófico"),CONCATENATE("R8C",'Mapa final'!#REF!),"")</f>
        <v>#REF!</v>
      </c>
      <c r="AL53" s="55" t="e">
        <f>IF(AND('Mapa final'!#REF!="Muy Baja",'Mapa final'!#REF!="Catastrófico"),CONCATENATE("R8C",'Mapa final'!#REF!),"")</f>
        <v>#REF!</v>
      </c>
      <c r="AM53" s="56" t="e">
        <f>IF(AND('Mapa final'!#REF!="Muy Baja",'Mapa final'!#REF!="Catastrófico"),CONCATENATE("R8C",'Mapa final'!#REF!),"")</f>
        <v>#REF!</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315"/>
      <c r="C54" s="315"/>
      <c r="D54" s="316"/>
      <c r="E54" s="414"/>
      <c r="F54" s="413"/>
      <c r="G54" s="413"/>
      <c r="H54" s="413"/>
      <c r="I54" s="429"/>
      <c r="J54" s="75" t="str">
        <f>IF(AND('Mapa final'!$Z$37="Muy Baja",'Mapa final'!$AB$37="Leve"),CONCATENATE("R9C",'Mapa final'!$P$37),"")</f>
        <v/>
      </c>
      <c r="K54" s="76" t="e">
        <f>IF(AND('Mapa final'!#REF!="Muy Baja",'Mapa final'!#REF!="Leve"),CONCATENATE("R9C",'Mapa final'!#REF!),"")</f>
        <v>#REF!</v>
      </c>
      <c r="L54" s="76" t="e">
        <f>IF(AND('Mapa final'!#REF!="Muy Baja",'Mapa final'!#REF!="Leve"),CONCATENATE("R9C",'Mapa final'!#REF!),"")</f>
        <v>#REF!</v>
      </c>
      <c r="M54" s="76" t="e">
        <f>IF(AND('Mapa final'!#REF!="Muy Baja",'Mapa final'!#REF!="Leve"),CONCATENATE("R9C",'Mapa final'!#REF!),"")</f>
        <v>#REF!</v>
      </c>
      <c r="N54" s="76" t="e">
        <f>IF(AND('Mapa final'!#REF!="Muy Baja",'Mapa final'!#REF!="Leve"),CONCATENATE("R9C",'Mapa final'!#REF!),"")</f>
        <v>#REF!</v>
      </c>
      <c r="O54" s="77" t="e">
        <f>IF(AND('Mapa final'!#REF!="Muy Baja",'Mapa final'!#REF!="Leve"),CONCATENATE("R9C",'Mapa final'!#REF!),"")</f>
        <v>#REF!</v>
      </c>
      <c r="P54" s="75" t="str">
        <f>IF(AND('Mapa final'!$Z$37="Muy Baja",'Mapa final'!$AB$37="Menor"),CONCATENATE("R9C",'Mapa final'!$P$37),"")</f>
        <v/>
      </c>
      <c r="Q54" s="76" t="e">
        <f>IF(AND('Mapa final'!#REF!="Muy Baja",'Mapa final'!#REF!="Menor"),CONCATENATE("R9C",'Mapa final'!#REF!),"")</f>
        <v>#REF!</v>
      </c>
      <c r="R54" s="76" t="e">
        <f>IF(AND('Mapa final'!#REF!="Muy Baja",'Mapa final'!#REF!="Menor"),CONCATENATE("R9C",'Mapa final'!#REF!),"")</f>
        <v>#REF!</v>
      </c>
      <c r="S54" s="76" t="e">
        <f>IF(AND('Mapa final'!#REF!="Muy Baja",'Mapa final'!#REF!="Menor"),CONCATENATE("R9C",'Mapa final'!#REF!),"")</f>
        <v>#REF!</v>
      </c>
      <c r="T54" s="76" t="e">
        <f>IF(AND('Mapa final'!#REF!="Muy Baja",'Mapa final'!#REF!="Menor"),CONCATENATE("R9C",'Mapa final'!#REF!),"")</f>
        <v>#REF!</v>
      </c>
      <c r="U54" s="77" t="e">
        <f>IF(AND('Mapa final'!#REF!="Muy Baja",'Mapa final'!#REF!="Menor"),CONCATENATE("R9C",'Mapa final'!#REF!),"")</f>
        <v>#REF!</v>
      </c>
      <c r="V54" s="66" t="str">
        <f>IF(AND('Mapa final'!$Z$37="Muy Baja",'Mapa final'!$AB$37="Moderado"),CONCATENATE("R9C",'Mapa final'!$P$37),"")</f>
        <v/>
      </c>
      <c r="W54" s="67" t="e">
        <f>IF(AND('Mapa final'!#REF!="Muy Baja",'Mapa final'!#REF!="Moderado"),CONCATENATE("R9C",'Mapa final'!#REF!),"")</f>
        <v>#REF!</v>
      </c>
      <c r="X54" s="67" t="e">
        <f>IF(AND('Mapa final'!#REF!="Muy Baja",'Mapa final'!#REF!="Moderado"),CONCATENATE("R9C",'Mapa final'!#REF!),"")</f>
        <v>#REF!</v>
      </c>
      <c r="Y54" s="67" t="e">
        <f>IF(AND('Mapa final'!#REF!="Muy Baja",'Mapa final'!#REF!="Moderado"),CONCATENATE("R9C",'Mapa final'!#REF!),"")</f>
        <v>#REF!</v>
      </c>
      <c r="Z54" s="67" t="e">
        <f>IF(AND('Mapa final'!#REF!="Muy Baja",'Mapa final'!#REF!="Moderado"),CONCATENATE("R9C",'Mapa final'!#REF!),"")</f>
        <v>#REF!</v>
      </c>
      <c r="AA54" s="68" t="e">
        <f>IF(AND('Mapa final'!#REF!="Muy Baja",'Mapa final'!#REF!="Moderado"),CONCATENATE("R9C",'Mapa final'!#REF!),"")</f>
        <v>#REF!</v>
      </c>
      <c r="AB54" s="51" t="str">
        <f>IF(AND('Mapa final'!$Z$37="Muy Baja",'Mapa final'!$AB$37="Mayor"),CONCATENATE("R9C",'Mapa final'!$P$37),"")</f>
        <v/>
      </c>
      <c r="AC54" s="52" t="e">
        <f>IF(AND('Mapa final'!#REF!="Muy Baja",'Mapa final'!#REF!="Mayor"),CONCATENATE("R9C",'Mapa final'!#REF!),"")</f>
        <v>#REF!</v>
      </c>
      <c r="AD54" s="52" t="e">
        <f>IF(AND('Mapa final'!#REF!="Muy Baja",'Mapa final'!#REF!="Mayor"),CONCATENATE("R9C",'Mapa final'!#REF!),"")</f>
        <v>#REF!</v>
      </c>
      <c r="AE54" s="52" t="e">
        <f>IF(AND('Mapa final'!#REF!="Muy Baja",'Mapa final'!#REF!="Mayor"),CONCATENATE("R9C",'Mapa final'!#REF!),"")</f>
        <v>#REF!</v>
      </c>
      <c r="AF54" s="52" t="e">
        <f>IF(AND('Mapa final'!#REF!="Muy Baja",'Mapa final'!#REF!="Mayor"),CONCATENATE("R9C",'Mapa final'!#REF!),"")</f>
        <v>#REF!</v>
      </c>
      <c r="AG54" s="53" t="e">
        <f>IF(AND('Mapa final'!#REF!="Muy Baja",'Mapa final'!#REF!="Mayor"),CONCATENATE("R9C",'Mapa final'!#REF!),"")</f>
        <v>#REF!</v>
      </c>
      <c r="AH54" s="54" t="str">
        <f>IF(AND('Mapa final'!$Z$37="Muy Baja",'Mapa final'!$AB$37="Catastrófico"),CONCATENATE("R9C",'Mapa final'!$P$37),"")</f>
        <v/>
      </c>
      <c r="AI54" s="55" t="e">
        <f>IF(AND('Mapa final'!#REF!="Muy Baja",'Mapa final'!#REF!="Catastrófico"),CONCATENATE("R9C",'Mapa final'!#REF!),"")</f>
        <v>#REF!</v>
      </c>
      <c r="AJ54" s="55" t="e">
        <f>IF(AND('Mapa final'!#REF!="Muy Baja",'Mapa final'!#REF!="Catastrófico"),CONCATENATE("R9C",'Mapa final'!#REF!),"")</f>
        <v>#REF!</v>
      </c>
      <c r="AK54" s="55" t="e">
        <f>IF(AND('Mapa final'!#REF!="Muy Baja",'Mapa final'!#REF!="Catastrófico"),CONCATENATE("R9C",'Mapa final'!#REF!),"")</f>
        <v>#REF!</v>
      </c>
      <c r="AL54" s="55" t="e">
        <f>IF(AND('Mapa final'!#REF!="Muy Baja",'Mapa final'!#REF!="Catastrófico"),CONCATENATE("R9C",'Mapa final'!#REF!),"")</f>
        <v>#REF!</v>
      </c>
      <c r="AM54" s="56" t="e">
        <f>IF(AND('Mapa final'!#REF!="Muy Baja",'Mapa final'!#REF!="Catastrófico"),CONCATENATE("R9C",'Mapa final'!#REF!),"")</f>
        <v>#REF!</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315"/>
      <c r="C55" s="315"/>
      <c r="D55" s="316"/>
      <c r="E55" s="415"/>
      <c r="F55" s="416"/>
      <c r="G55" s="416"/>
      <c r="H55" s="416"/>
      <c r="I55" s="430"/>
      <c r="J55" s="78" t="str">
        <f>IF(AND('Mapa final'!$Z$38="Muy Baja",'Mapa final'!$AB$38="Leve"),CONCATENATE("R10C",'Mapa final'!$P$38),"")</f>
        <v/>
      </c>
      <c r="K55" s="79" t="e">
        <f>IF(AND('Mapa final'!#REF!="Muy Baja",'Mapa final'!#REF!="Leve"),CONCATENATE("R10C",'Mapa final'!#REF!),"")</f>
        <v>#REF!</v>
      </c>
      <c r="L55" s="79" t="e">
        <f>IF(AND('Mapa final'!#REF!="Muy Baja",'Mapa final'!#REF!="Leve"),CONCATENATE("R10C",'Mapa final'!#REF!),"")</f>
        <v>#REF!</v>
      </c>
      <c r="M55" s="79" t="e">
        <f>IF(AND('Mapa final'!#REF!="Muy Baja",'Mapa final'!#REF!="Leve"),CONCATENATE("R10C",'Mapa final'!#REF!),"")</f>
        <v>#REF!</v>
      </c>
      <c r="N55" s="79" t="e">
        <f>IF(AND('Mapa final'!#REF!="Muy Baja",'Mapa final'!#REF!="Leve"),CONCATENATE("R10C",'Mapa final'!#REF!),"")</f>
        <v>#REF!</v>
      </c>
      <c r="O55" s="80" t="e">
        <f>IF(AND('Mapa final'!#REF!="Muy Baja",'Mapa final'!#REF!="Leve"),CONCATENATE("R10C",'Mapa final'!#REF!),"")</f>
        <v>#REF!</v>
      </c>
      <c r="P55" s="78" t="str">
        <f>IF(AND('Mapa final'!$Z$38="Muy Baja",'Mapa final'!$AB$38="Menor"),CONCATENATE("R10C",'Mapa final'!$P$38),"")</f>
        <v/>
      </c>
      <c r="Q55" s="79" t="e">
        <f>IF(AND('Mapa final'!#REF!="Muy Baja",'Mapa final'!#REF!="Menor"),CONCATENATE("R10C",'Mapa final'!#REF!),"")</f>
        <v>#REF!</v>
      </c>
      <c r="R55" s="79" t="e">
        <f>IF(AND('Mapa final'!#REF!="Muy Baja",'Mapa final'!#REF!="Menor"),CONCATENATE("R10C",'Mapa final'!#REF!),"")</f>
        <v>#REF!</v>
      </c>
      <c r="S55" s="79" t="e">
        <f>IF(AND('Mapa final'!#REF!="Muy Baja",'Mapa final'!#REF!="Menor"),CONCATENATE("R10C",'Mapa final'!#REF!),"")</f>
        <v>#REF!</v>
      </c>
      <c r="T55" s="79" t="e">
        <f>IF(AND('Mapa final'!#REF!="Muy Baja",'Mapa final'!#REF!="Menor"),CONCATENATE("R10C",'Mapa final'!#REF!),"")</f>
        <v>#REF!</v>
      </c>
      <c r="U55" s="80" t="e">
        <f>IF(AND('Mapa final'!#REF!="Muy Baja",'Mapa final'!#REF!="Menor"),CONCATENATE("R10C",'Mapa final'!#REF!),"")</f>
        <v>#REF!</v>
      </c>
      <c r="V55" s="69" t="str">
        <f>IF(AND('Mapa final'!$Z$38="Muy Baja",'Mapa final'!$AB$38="Moderado"),CONCATENATE("R10C",'Mapa final'!$P$38),"")</f>
        <v/>
      </c>
      <c r="W55" s="70" t="e">
        <f>IF(AND('Mapa final'!#REF!="Muy Baja",'Mapa final'!#REF!="Moderado"),CONCATENATE("R10C",'Mapa final'!#REF!),"")</f>
        <v>#REF!</v>
      </c>
      <c r="X55" s="70" t="e">
        <f>IF(AND('Mapa final'!#REF!="Muy Baja",'Mapa final'!#REF!="Moderado"),CONCATENATE("R10C",'Mapa final'!#REF!),"")</f>
        <v>#REF!</v>
      </c>
      <c r="Y55" s="70" t="e">
        <f>IF(AND('Mapa final'!#REF!="Muy Baja",'Mapa final'!#REF!="Moderado"),CONCATENATE("R10C",'Mapa final'!#REF!),"")</f>
        <v>#REF!</v>
      </c>
      <c r="Z55" s="70" t="e">
        <f>IF(AND('Mapa final'!#REF!="Muy Baja",'Mapa final'!#REF!="Moderado"),CONCATENATE("R10C",'Mapa final'!#REF!),"")</f>
        <v>#REF!</v>
      </c>
      <c r="AA55" s="71" t="e">
        <f>IF(AND('Mapa final'!#REF!="Muy Baja",'Mapa final'!#REF!="Moderado"),CONCATENATE("R10C",'Mapa final'!#REF!),"")</f>
        <v>#REF!</v>
      </c>
      <c r="AB55" s="57" t="str">
        <f>IF(AND('Mapa final'!$Z$38="Muy Baja",'Mapa final'!$AB$38="Mayor"),CONCATENATE("R10C",'Mapa final'!$P$38),"")</f>
        <v/>
      </c>
      <c r="AC55" s="58" t="e">
        <f>IF(AND('Mapa final'!#REF!="Muy Baja",'Mapa final'!#REF!="Mayor"),CONCATENATE("R10C",'Mapa final'!#REF!),"")</f>
        <v>#REF!</v>
      </c>
      <c r="AD55" s="58" t="e">
        <f>IF(AND('Mapa final'!#REF!="Muy Baja",'Mapa final'!#REF!="Mayor"),CONCATENATE("R10C",'Mapa final'!#REF!),"")</f>
        <v>#REF!</v>
      </c>
      <c r="AE55" s="58" t="e">
        <f>IF(AND('Mapa final'!#REF!="Muy Baja",'Mapa final'!#REF!="Mayor"),CONCATENATE("R10C",'Mapa final'!#REF!),"")</f>
        <v>#REF!</v>
      </c>
      <c r="AF55" s="58" t="e">
        <f>IF(AND('Mapa final'!#REF!="Muy Baja",'Mapa final'!#REF!="Mayor"),CONCATENATE("R10C",'Mapa final'!#REF!),"")</f>
        <v>#REF!</v>
      </c>
      <c r="AG55" s="59" t="e">
        <f>IF(AND('Mapa final'!#REF!="Muy Baja",'Mapa final'!#REF!="Mayor"),CONCATENATE("R10C",'Mapa final'!#REF!),"")</f>
        <v>#REF!</v>
      </c>
      <c r="AH55" s="60" t="str">
        <f>IF(AND('Mapa final'!$Z$38="Muy Baja",'Mapa final'!$AB$38="Catastrófico"),CONCATENATE("R10C",'Mapa final'!$P$38),"")</f>
        <v/>
      </c>
      <c r="AI55" s="61" t="e">
        <f>IF(AND('Mapa final'!#REF!="Muy Baja",'Mapa final'!#REF!="Catastrófico"),CONCATENATE("R10C",'Mapa final'!#REF!),"")</f>
        <v>#REF!</v>
      </c>
      <c r="AJ55" s="61" t="e">
        <f>IF(AND('Mapa final'!#REF!="Muy Baja",'Mapa final'!#REF!="Catastrófico"),CONCATENATE("R10C",'Mapa final'!#REF!),"")</f>
        <v>#REF!</v>
      </c>
      <c r="AK55" s="61" t="e">
        <f>IF(AND('Mapa final'!#REF!="Muy Baja",'Mapa final'!#REF!="Catastrófico"),CONCATENATE("R10C",'Mapa final'!#REF!),"")</f>
        <v>#REF!</v>
      </c>
      <c r="AL55" s="61" t="e">
        <f>IF(AND('Mapa final'!#REF!="Muy Baja",'Mapa final'!#REF!="Catastrófico"),CONCATENATE("R10C",'Mapa final'!#REF!),"")</f>
        <v>#REF!</v>
      </c>
      <c r="AM55" s="62" t="e">
        <f>IF(AND('Mapa final'!#REF!="Muy Baja",'Mapa final'!#REF!="Catastrófico"),CONCATENATE("R10C",'Mapa final'!#REF!),"")</f>
        <v>#REF!</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410" t="s">
        <v>111</v>
      </c>
      <c r="K56" s="411"/>
      <c r="L56" s="411"/>
      <c r="M56" s="411"/>
      <c r="N56" s="411"/>
      <c r="O56" s="428"/>
      <c r="P56" s="410" t="s">
        <v>110</v>
      </c>
      <c r="Q56" s="411"/>
      <c r="R56" s="411"/>
      <c r="S56" s="411"/>
      <c r="T56" s="411"/>
      <c r="U56" s="428"/>
      <c r="V56" s="410" t="s">
        <v>109</v>
      </c>
      <c r="W56" s="411"/>
      <c r="X56" s="411"/>
      <c r="Y56" s="411"/>
      <c r="Z56" s="411"/>
      <c r="AA56" s="428"/>
      <c r="AB56" s="410" t="s">
        <v>108</v>
      </c>
      <c r="AC56" s="449"/>
      <c r="AD56" s="411"/>
      <c r="AE56" s="411"/>
      <c r="AF56" s="411"/>
      <c r="AG56" s="428"/>
      <c r="AH56" s="410" t="s">
        <v>107</v>
      </c>
      <c r="AI56" s="411"/>
      <c r="AJ56" s="411"/>
      <c r="AK56" s="411"/>
      <c r="AL56" s="411"/>
      <c r="AM56" s="428"/>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414"/>
      <c r="K57" s="413"/>
      <c r="L57" s="413"/>
      <c r="M57" s="413"/>
      <c r="N57" s="413"/>
      <c r="O57" s="429"/>
      <c r="P57" s="414"/>
      <c r="Q57" s="413"/>
      <c r="R57" s="413"/>
      <c r="S57" s="413"/>
      <c r="T57" s="413"/>
      <c r="U57" s="429"/>
      <c r="V57" s="414"/>
      <c r="W57" s="413"/>
      <c r="X57" s="413"/>
      <c r="Y57" s="413"/>
      <c r="Z57" s="413"/>
      <c r="AA57" s="429"/>
      <c r="AB57" s="414"/>
      <c r="AC57" s="413"/>
      <c r="AD57" s="413"/>
      <c r="AE57" s="413"/>
      <c r="AF57" s="413"/>
      <c r="AG57" s="429"/>
      <c r="AH57" s="414"/>
      <c r="AI57" s="413"/>
      <c r="AJ57" s="413"/>
      <c r="AK57" s="413"/>
      <c r="AL57" s="413"/>
      <c r="AM57" s="429"/>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414"/>
      <c r="K58" s="413"/>
      <c r="L58" s="413"/>
      <c r="M58" s="413"/>
      <c r="N58" s="413"/>
      <c r="O58" s="429"/>
      <c r="P58" s="414"/>
      <c r="Q58" s="413"/>
      <c r="R58" s="413"/>
      <c r="S58" s="413"/>
      <c r="T58" s="413"/>
      <c r="U58" s="429"/>
      <c r="V58" s="414"/>
      <c r="W58" s="413"/>
      <c r="X58" s="413"/>
      <c r="Y58" s="413"/>
      <c r="Z58" s="413"/>
      <c r="AA58" s="429"/>
      <c r="AB58" s="414"/>
      <c r="AC58" s="413"/>
      <c r="AD58" s="413"/>
      <c r="AE58" s="413"/>
      <c r="AF58" s="413"/>
      <c r="AG58" s="429"/>
      <c r="AH58" s="414"/>
      <c r="AI58" s="413"/>
      <c r="AJ58" s="413"/>
      <c r="AK58" s="413"/>
      <c r="AL58" s="413"/>
      <c r="AM58" s="429"/>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414"/>
      <c r="K59" s="413"/>
      <c r="L59" s="413"/>
      <c r="M59" s="413"/>
      <c r="N59" s="413"/>
      <c r="O59" s="429"/>
      <c r="P59" s="414"/>
      <c r="Q59" s="413"/>
      <c r="R59" s="413"/>
      <c r="S59" s="413"/>
      <c r="T59" s="413"/>
      <c r="U59" s="429"/>
      <c r="V59" s="414"/>
      <c r="W59" s="413"/>
      <c r="X59" s="413"/>
      <c r="Y59" s="413"/>
      <c r="Z59" s="413"/>
      <c r="AA59" s="429"/>
      <c r="AB59" s="414"/>
      <c r="AC59" s="413"/>
      <c r="AD59" s="413"/>
      <c r="AE59" s="413"/>
      <c r="AF59" s="413"/>
      <c r="AG59" s="429"/>
      <c r="AH59" s="414"/>
      <c r="AI59" s="413"/>
      <c r="AJ59" s="413"/>
      <c r="AK59" s="413"/>
      <c r="AL59" s="413"/>
      <c r="AM59" s="429"/>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414"/>
      <c r="K60" s="413"/>
      <c r="L60" s="413"/>
      <c r="M60" s="413"/>
      <c r="N60" s="413"/>
      <c r="O60" s="429"/>
      <c r="P60" s="414"/>
      <c r="Q60" s="413"/>
      <c r="R60" s="413"/>
      <c r="S60" s="413"/>
      <c r="T60" s="413"/>
      <c r="U60" s="429"/>
      <c r="V60" s="414"/>
      <c r="W60" s="413"/>
      <c r="X60" s="413"/>
      <c r="Y60" s="413"/>
      <c r="Z60" s="413"/>
      <c r="AA60" s="429"/>
      <c r="AB60" s="414"/>
      <c r="AC60" s="413"/>
      <c r="AD60" s="413"/>
      <c r="AE60" s="413"/>
      <c r="AF60" s="413"/>
      <c r="AG60" s="429"/>
      <c r="AH60" s="414"/>
      <c r="AI60" s="413"/>
      <c r="AJ60" s="413"/>
      <c r="AK60" s="413"/>
      <c r="AL60" s="413"/>
      <c r="AM60" s="429"/>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415"/>
      <c r="K61" s="416"/>
      <c r="L61" s="416"/>
      <c r="M61" s="416"/>
      <c r="N61" s="416"/>
      <c r="O61" s="430"/>
      <c r="P61" s="415"/>
      <c r="Q61" s="416"/>
      <c r="R61" s="416"/>
      <c r="S61" s="416"/>
      <c r="T61" s="416"/>
      <c r="U61" s="430"/>
      <c r="V61" s="415"/>
      <c r="W61" s="416"/>
      <c r="X61" s="416"/>
      <c r="Y61" s="416"/>
      <c r="Z61" s="416"/>
      <c r="AA61" s="430"/>
      <c r="AB61" s="415"/>
      <c r="AC61" s="416"/>
      <c r="AD61" s="416"/>
      <c r="AE61" s="416"/>
      <c r="AF61" s="416"/>
      <c r="AG61" s="430"/>
      <c r="AH61" s="415"/>
      <c r="AI61" s="416"/>
      <c r="AJ61" s="416"/>
      <c r="AK61" s="416"/>
      <c r="AL61" s="416"/>
      <c r="AM61" s="430"/>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D6" sqref="D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2"/>
      <c r="B1" s="450" t="s">
        <v>54</v>
      </c>
      <c r="C1" s="450"/>
      <c r="D1" s="450"/>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0"/>
      <c r="C3" s="11" t="s">
        <v>51</v>
      </c>
      <c r="D3" s="11"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2" t="s">
        <v>50</v>
      </c>
      <c r="C4" s="13" t="s">
        <v>101</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5" t="s">
        <v>52</v>
      </c>
      <c r="C5" s="16" t="s">
        <v>102</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8" t="s">
        <v>106</v>
      </c>
      <c r="C6" s="16" t="s">
        <v>103</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19" t="s">
        <v>6</v>
      </c>
      <c r="C7" s="16" t="s">
        <v>104</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0" t="s">
        <v>53</v>
      </c>
      <c r="C8" s="16" t="s">
        <v>105</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8" sqref="D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2"/>
      <c r="B1" s="451" t="s">
        <v>62</v>
      </c>
      <c r="C1" s="451"/>
      <c r="D1" s="451"/>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3"/>
      <c r="C3" s="35" t="s">
        <v>55</v>
      </c>
      <c r="D3" s="35" t="s">
        <v>56</v>
      </c>
      <c r="E3" s="82"/>
      <c r="F3" s="82"/>
      <c r="G3" s="82"/>
      <c r="H3" s="82"/>
      <c r="I3" s="82"/>
      <c r="J3" s="82"/>
      <c r="K3" s="82"/>
      <c r="L3" s="82"/>
      <c r="M3" s="82"/>
      <c r="N3" s="82"/>
      <c r="O3" s="82"/>
      <c r="P3" s="82"/>
      <c r="Q3" s="82"/>
      <c r="R3" s="82"/>
      <c r="S3" s="82"/>
      <c r="T3" s="82"/>
      <c r="U3" s="82"/>
    </row>
    <row r="4" spans="1:21" ht="33.75" x14ac:dyDescent="0.25">
      <c r="A4" s="102" t="s">
        <v>82</v>
      </c>
      <c r="B4" s="38" t="s">
        <v>100</v>
      </c>
      <c r="C4" s="43" t="s">
        <v>157</v>
      </c>
      <c r="D4" s="36" t="s">
        <v>96</v>
      </c>
      <c r="E4" s="82"/>
      <c r="F4" s="82"/>
      <c r="G4" s="82"/>
      <c r="H4" s="82"/>
      <c r="I4" s="82"/>
      <c r="J4" s="82"/>
      <c r="K4" s="82"/>
      <c r="L4" s="82"/>
      <c r="M4" s="82"/>
      <c r="N4" s="82"/>
      <c r="O4" s="82"/>
      <c r="P4" s="82"/>
      <c r="Q4" s="82"/>
      <c r="R4" s="82"/>
      <c r="S4" s="82"/>
      <c r="T4" s="82"/>
      <c r="U4" s="82"/>
    </row>
    <row r="5" spans="1:21" ht="67.5" x14ac:dyDescent="0.25">
      <c r="A5" s="102" t="s">
        <v>83</v>
      </c>
      <c r="B5" s="39" t="s">
        <v>58</v>
      </c>
      <c r="C5" s="44" t="s">
        <v>92</v>
      </c>
      <c r="D5" s="37" t="s">
        <v>97</v>
      </c>
      <c r="E5" s="82"/>
      <c r="F5" s="82"/>
      <c r="G5" s="82"/>
      <c r="H5" s="82"/>
      <c r="I5" s="82"/>
      <c r="J5" s="82"/>
      <c r="K5" s="82"/>
      <c r="L5" s="82"/>
      <c r="M5" s="82"/>
      <c r="N5" s="82"/>
      <c r="O5" s="82"/>
      <c r="P5" s="82"/>
      <c r="Q5" s="82"/>
      <c r="R5" s="82"/>
      <c r="S5" s="82"/>
      <c r="T5" s="82"/>
      <c r="U5" s="82"/>
    </row>
    <row r="6" spans="1:21" ht="67.5" x14ac:dyDescent="0.25">
      <c r="A6" s="102" t="s">
        <v>80</v>
      </c>
      <c r="B6" s="40" t="s">
        <v>59</v>
      </c>
      <c r="C6" s="44" t="s">
        <v>93</v>
      </c>
      <c r="D6" s="37" t="s">
        <v>99</v>
      </c>
      <c r="E6" s="82"/>
      <c r="F6" s="82"/>
      <c r="G6" s="82"/>
      <c r="H6" s="82"/>
      <c r="I6" s="82"/>
      <c r="J6" s="82"/>
      <c r="K6" s="82"/>
      <c r="L6" s="82"/>
      <c r="M6" s="82"/>
      <c r="N6" s="82"/>
      <c r="O6" s="82"/>
      <c r="P6" s="82"/>
      <c r="Q6" s="82"/>
      <c r="R6" s="82"/>
      <c r="S6" s="82"/>
      <c r="T6" s="82"/>
      <c r="U6" s="82"/>
    </row>
    <row r="7" spans="1:21" ht="101.25" x14ac:dyDescent="0.25">
      <c r="A7" s="102" t="s">
        <v>7</v>
      </c>
      <c r="B7" s="41" t="s">
        <v>60</v>
      </c>
      <c r="C7" s="44" t="s">
        <v>94</v>
      </c>
      <c r="D7" s="37" t="s">
        <v>98</v>
      </c>
      <c r="E7" s="82"/>
      <c r="F7" s="82"/>
      <c r="G7" s="82"/>
      <c r="H7" s="82"/>
      <c r="I7" s="82"/>
      <c r="J7" s="82"/>
      <c r="K7" s="82"/>
      <c r="L7" s="82"/>
      <c r="M7" s="82"/>
      <c r="N7" s="82"/>
      <c r="O7" s="82"/>
      <c r="P7" s="82"/>
      <c r="Q7" s="82"/>
      <c r="R7" s="82"/>
      <c r="S7" s="82"/>
      <c r="T7" s="82"/>
      <c r="U7" s="82"/>
    </row>
    <row r="8" spans="1:21" ht="67.5" x14ac:dyDescent="0.25">
      <c r="A8" s="102" t="s">
        <v>84</v>
      </c>
      <c r="B8" s="42" t="s">
        <v>61</v>
      </c>
      <c r="C8" s="44" t="s">
        <v>95</v>
      </c>
      <c r="D8" s="37" t="s">
        <v>117</v>
      </c>
      <c r="E8" s="82"/>
      <c r="F8" s="82"/>
      <c r="G8" s="82"/>
      <c r="H8" s="82"/>
      <c r="I8" s="82"/>
      <c r="J8" s="82"/>
      <c r="K8" s="82"/>
      <c r="L8" s="82"/>
      <c r="M8" s="82"/>
      <c r="N8" s="82"/>
      <c r="O8" s="82"/>
      <c r="P8" s="82"/>
      <c r="Q8" s="82"/>
      <c r="R8" s="82"/>
      <c r="S8" s="82"/>
      <c r="T8" s="82"/>
      <c r="U8" s="82"/>
    </row>
    <row r="9" spans="1:21" ht="20.25" x14ac:dyDescent="0.25">
      <c r="A9" s="102"/>
      <c r="B9" s="102"/>
      <c r="C9" s="104"/>
      <c r="D9" s="104"/>
      <c r="E9" s="82"/>
      <c r="F9" s="82"/>
      <c r="G9" s="82"/>
      <c r="H9" s="82"/>
      <c r="I9" s="82"/>
      <c r="J9" s="82"/>
      <c r="K9" s="82"/>
      <c r="L9" s="82"/>
      <c r="M9" s="82"/>
      <c r="N9" s="82"/>
      <c r="O9" s="82"/>
      <c r="P9" s="82"/>
      <c r="Q9" s="82"/>
      <c r="R9" s="82"/>
      <c r="S9" s="82"/>
      <c r="T9" s="82"/>
      <c r="U9" s="82"/>
    </row>
    <row r="10" spans="1:21" ht="16.5" x14ac:dyDescent="0.25">
      <c r="A10" s="102"/>
      <c r="B10" s="105"/>
      <c r="C10" s="105"/>
      <c r="D10" s="105"/>
      <c r="E10" s="82"/>
      <c r="F10" s="82"/>
      <c r="G10" s="82"/>
      <c r="H10" s="82"/>
      <c r="I10" s="82"/>
      <c r="J10" s="82"/>
      <c r="K10" s="82"/>
      <c r="L10" s="82"/>
      <c r="M10" s="82"/>
      <c r="N10" s="82"/>
      <c r="O10" s="82"/>
      <c r="P10" s="82"/>
      <c r="Q10" s="82"/>
      <c r="R10" s="82"/>
      <c r="S10" s="82"/>
      <c r="T10" s="82"/>
      <c r="U10" s="82"/>
    </row>
    <row r="11" spans="1:21" x14ac:dyDescent="0.25">
      <c r="A11" s="102"/>
      <c r="B11" s="102" t="s">
        <v>90</v>
      </c>
      <c r="C11" s="102" t="s">
        <v>145</v>
      </c>
      <c r="D11" s="102" t="s">
        <v>152</v>
      </c>
      <c r="E11" s="82"/>
      <c r="F11" s="82"/>
      <c r="G11" s="82"/>
      <c r="H11" s="82"/>
      <c r="I11" s="82"/>
      <c r="J11" s="82"/>
      <c r="K11" s="82"/>
      <c r="L11" s="82"/>
      <c r="M11" s="82"/>
      <c r="N11" s="82"/>
      <c r="O11" s="82"/>
      <c r="P11" s="82"/>
      <c r="Q11" s="82"/>
      <c r="R11" s="82"/>
      <c r="S11" s="82"/>
      <c r="T11" s="82"/>
      <c r="U11" s="82"/>
    </row>
    <row r="12" spans="1:21" x14ac:dyDescent="0.25">
      <c r="A12" s="102"/>
      <c r="B12" s="102" t="s">
        <v>88</v>
      </c>
      <c r="C12" s="102" t="s">
        <v>149</v>
      </c>
      <c r="D12" s="102" t="s">
        <v>153</v>
      </c>
      <c r="E12" s="82"/>
      <c r="F12" s="82"/>
      <c r="G12" s="82"/>
      <c r="H12" s="82"/>
      <c r="I12" s="82"/>
      <c r="J12" s="82"/>
      <c r="K12" s="82"/>
      <c r="L12" s="82"/>
      <c r="M12" s="82"/>
      <c r="N12" s="82"/>
      <c r="O12" s="82"/>
      <c r="P12" s="82"/>
      <c r="Q12" s="82"/>
      <c r="R12" s="82"/>
      <c r="S12" s="82"/>
      <c r="T12" s="82"/>
      <c r="U12" s="82"/>
    </row>
    <row r="13" spans="1:21" x14ac:dyDescent="0.25">
      <c r="A13" s="102"/>
      <c r="B13" s="102"/>
      <c r="C13" s="102" t="s">
        <v>148</v>
      </c>
      <c r="D13" s="102" t="s">
        <v>154</v>
      </c>
      <c r="E13" s="82"/>
      <c r="F13" s="82"/>
      <c r="G13" s="82"/>
      <c r="H13" s="82"/>
      <c r="I13" s="82"/>
      <c r="J13" s="82"/>
      <c r="K13" s="82"/>
      <c r="L13" s="82"/>
      <c r="M13" s="82"/>
      <c r="N13" s="82"/>
      <c r="O13" s="82"/>
      <c r="P13" s="82"/>
      <c r="Q13" s="82"/>
      <c r="R13" s="82"/>
      <c r="S13" s="82"/>
      <c r="T13" s="82"/>
      <c r="U13" s="82"/>
    </row>
    <row r="14" spans="1:21" x14ac:dyDescent="0.25">
      <c r="A14" s="102"/>
      <c r="B14" s="102"/>
      <c r="C14" s="102" t="s">
        <v>150</v>
      </c>
      <c r="D14" s="102" t="s">
        <v>155</v>
      </c>
      <c r="E14" s="82"/>
      <c r="F14" s="82"/>
      <c r="G14" s="82"/>
      <c r="H14" s="82"/>
      <c r="I14" s="82"/>
      <c r="J14" s="82"/>
      <c r="K14" s="82"/>
      <c r="L14" s="82"/>
      <c r="M14" s="82"/>
      <c r="N14" s="82"/>
      <c r="O14" s="82"/>
      <c r="P14" s="82"/>
      <c r="Q14" s="82"/>
      <c r="R14" s="82"/>
      <c r="S14" s="82"/>
      <c r="T14" s="82"/>
      <c r="U14" s="82"/>
    </row>
    <row r="15" spans="1:21" x14ac:dyDescent="0.25">
      <c r="A15" s="102"/>
      <c r="B15" s="102"/>
      <c r="C15" s="102" t="s">
        <v>151</v>
      </c>
      <c r="D15" s="102" t="s">
        <v>156</v>
      </c>
      <c r="E15" s="82"/>
      <c r="F15" s="82"/>
      <c r="G15" s="82"/>
      <c r="H15" s="82"/>
      <c r="I15" s="82"/>
      <c r="J15" s="82"/>
      <c r="K15" s="82"/>
      <c r="L15" s="82"/>
      <c r="M15" s="82"/>
      <c r="N15" s="82"/>
      <c r="O15" s="82"/>
      <c r="P15" s="82"/>
      <c r="Q15" s="82"/>
      <c r="R15" s="82"/>
      <c r="S15" s="82"/>
      <c r="T15" s="82"/>
      <c r="U15" s="82"/>
    </row>
    <row r="16" spans="1:21" x14ac:dyDescent="0.25">
      <c r="A16" s="102"/>
      <c r="B16" s="102"/>
      <c r="C16" s="102"/>
      <c r="D16" s="102"/>
      <c r="E16" s="82"/>
      <c r="F16" s="82"/>
      <c r="G16" s="82"/>
      <c r="H16" s="82"/>
      <c r="I16" s="82"/>
      <c r="J16" s="82"/>
      <c r="K16" s="82"/>
      <c r="L16" s="82"/>
      <c r="M16" s="82"/>
      <c r="N16" s="82"/>
      <c r="O16" s="82"/>
    </row>
    <row r="17" spans="1:15" x14ac:dyDescent="0.25">
      <c r="A17" s="102"/>
      <c r="B17" s="102"/>
      <c r="C17" s="102"/>
      <c r="D17" s="102"/>
      <c r="E17" s="82"/>
      <c r="F17" s="82"/>
      <c r="G17" s="82"/>
      <c r="H17" s="82"/>
      <c r="I17" s="82"/>
      <c r="J17" s="82"/>
      <c r="K17" s="82"/>
      <c r="L17" s="82"/>
      <c r="M17" s="82"/>
      <c r="N17" s="82"/>
      <c r="O17" s="82"/>
    </row>
    <row r="18" spans="1:15" x14ac:dyDescent="0.25">
      <c r="A18" s="102"/>
      <c r="B18" s="106"/>
      <c r="C18" s="106"/>
      <c r="D18" s="106"/>
      <c r="E18" s="82"/>
      <c r="F18" s="82"/>
      <c r="G18" s="82"/>
      <c r="H18" s="82"/>
      <c r="I18" s="82"/>
      <c r="J18" s="82"/>
      <c r="K18" s="82"/>
      <c r="L18" s="82"/>
      <c r="M18" s="82"/>
      <c r="N18" s="82"/>
      <c r="O18" s="82"/>
    </row>
    <row r="19" spans="1:15" x14ac:dyDescent="0.25">
      <c r="A19" s="102"/>
      <c r="B19" s="106"/>
      <c r="C19" s="106"/>
      <c r="D19" s="106"/>
      <c r="E19" s="82"/>
      <c r="F19" s="82"/>
      <c r="G19" s="82"/>
      <c r="H19" s="82"/>
      <c r="I19" s="82"/>
      <c r="J19" s="82"/>
      <c r="K19" s="82"/>
      <c r="L19" s="82"/>
      <c r="M19" s="82"/>
      <c r="N19" s="82"/>
      <c r="O19" s="82"/>
    </row>
    <row r="20" spans="1:15" x14ac:dyDescent="0.25">
      <c r="A20" s="102"/>
      <c r="B20" s="106"/>
      <c r="C20" s="106"/>
      <c r="D20" s="106"/>
      <c r="E20" s="82"/>
      <c r="F20" s="82"/>
      <c r="G20" s="82"/>
      <c r="H20" s="82"/>
      <c r="I20" s="82"/>
      <c r="J20" s="82"/>
      <c r="K20" s="82"/>
      <c r="L20" s="82"/>
      <c r="M20" s="82"/>
      <c r="N20" s="82"/>
      <c r="O20" s="82"/>
    </row>
    <row r="21" spans="1:15" x14ac:dyDescent="0.25">
      <c r="A21" s="102"/>
      <c r="B21" s="106"/>
      <c r="C21" s="106"/>
      <c r="D21" s="106"/>
      <c r="E21" s="82"/>
      <c r="F21" s="82"/>
      <c r="G21" s="82"/>
      <c r="H21" s="82"/>
      <c r="I21" s="82"/>
      <c r="J21" s="82"/>
      <c r="K21" s="82"/>
      <c r="L21" s="82"/>
      <c r="M21" s="82"/>
      <c r="N21" s="82"/>
      <c r="O21" s="82"/>
    </row>
    <row r="22" spans="1:15" ht="20.25" x14ac:dyDescent="0.25">
      <c r="A22" s="102"/>
      <c r="B22" s="102"/>
      <c r="C22" s="104"/>
      <c r="D22" s="104"/>
      <c r="E22" s="82"/>
      <c r="F22" s="82"/>
      <c r="G22" s="82"/>
      <c r="H22" s="82"/>
      <c r="I22" s="82"/>
      <c r="J22" s="82"/>
      <c r="K22" s="82"/>
      <c r="L22" s="82"/>
      <c r="M22" s="82"/>
      <c r="N22" s="82"/>
      <c r="O22" s="82"/>
    </row>
    <row r="23" spans="1:15" ht="20.25" x14ac:dyDescent="0.25">
      <c r="A23" s="102"/>
      <c r="B23" s="102"/>
      <c r="C23" s="104"/>
      <c r="D23" s="104"/>
      <c r="E23" s="82"/>
      <c r="F23" s="82"/>
      <c r="G23" s="82"/>
      <c r="H23" s="82"/>
      <c r="I23" s="82"/>
      <c r="J23" s="82"/>
      <c r="K23" s="82"/>
      <c r="L23" s="82"/>
      <c r="M23" s="82"/>
      <c r="N23" s="82"/>
      <c r="O23" s="82"/>
    </row>
    <row r="24" spans="1:15" ht="20.25" x14ac:dyDescent="0.25">
      <c r="A24" s="102"/>
      <c r="B24" s="102"/>
      <c r="C24" s="104"/>
      <c r="D24" s="104"/>
      <c r="E24" s="82"/>
      <c r="F24" s="82"/>
      <c r="G24" s="82"/>
      <c r="H24" s="82"/>
      <c r="I24" s="82"/>
      <c r="J24" s="82"/>
      <c r="K24" s="82"/>
      <c r="L24" s="82"/>
      <c r="M24" s="82"/>
      <c r="N24" s="82"/>
      <c r="O24" s="82"/>
    </row>
    <row r="25" spans="1:15" ht="20.25" x14ac:dyDescent="0.25">
      <c r="A25" s="102"/>
      <c r="B25" s="102"/>
      <c r="C25" s="104"/>
      <c r="D25" s="104"/>
      <c r="E25" s="82"/>
      <c r="F25" s="82"/>
      <c r="G25" s="82"/>
      <c r="H25" s="82"/>
      <c r="I25" s="82"/>
      <c r="J25" s="82"/>
      <c r="K25" s="82"/>
      <c r="L25" s="82"/>
      <c r="M25" s="82"/>
      <c r="N25" s="82"/>
      <c r="O25" s="82"/>
    </row>
    <row r="26" spans="1:15" ht="20.25" x14ac:dyDescent="0.25">
      <c r="A26" s="102"/>
      <c r="B26" s="102"/>
      <c r="C26" s="104"/>
      <c r="D26" s="104"/>
      <c r="E26" s="82"/>
      <c r="F26" s="82"/>
      <c r="G26" s="82"/>
      <c r="H26" s="82"/>
      <c r="I26" s="82"/>
      <c r="J26" s="82"/>
      <c r="K26" s="82"/>
      <c r="L26" s="82"/>
      <c r="M26" s="82"/>
      <c r="N26" s="82"/>
      <c r="O26" s="82"/>
    </row>
    <row r="27" spans="1:15" ht="20.25" x14ac:dyDescent="0.25">
      <c r="A27" s="102"/>
      <c r="B27" s="102"/>
      <c r="C27" s="104"/>
      <c r="D27" s="104"/>
      <c r="E27" s="82"/>
      <c r="F27" s="82"/>
      <c r="G27" s="82"/>
      <c r="H27" s="82"/>
      <c r="I27" s="82"/>
      <c r="J27" s="82"/>
      <c r="K27" s="82"/>
      <c r="L27" s="82"/>
      <c r="M27" s="82"/>
      <c r="N27" s="82"/>
      <c r="O27" s="82"/>
    </row>
    <row r="28" spans="1:15" ht="20.25" x14ac:dyDescent="0.25">
      <c r="A28" s="102"/>
      <c r="B28" s="102"/>
      <c r="C28" s="104"/>
      <c r="D28" s="104"/>
      <c r="E28" s="82"/>
      <c r="F28" s="82"/>
      <c r="G28" s="82"/>
      <c r="H28" s="82"/>
      <c r="I28" s="82"/>
      <c r="J28" s="82"/>
      <c r="K28" s="82"/>
      <c r="L28" s="82"/>
      <c r="M28" s="82"/>
      <c r="N28" s="82"/>
      <c r="O28" s="82"/>
    </row>
    <row r="29" spans="1:15" ht="20.25" x14ac:dyDescent="0.25">
      <c r="A29" s="102"/>
      <c r="B29" s="102"/>
      <c r="C29" s="104"/>
      <c r="D29" s="104"/>
      <c r="E29" s="82"/>
      <c r="F29" s="82"/>
      <c r="G29" s="82"/>
      <c r="H29" s="82"/>
      <c r="I29" s="82"/>
      <c r="J29" s="82"/>
      <c r="K29" s="82"/>
      <c r="L29" s="82"/>
      <c r="M29" s="82"/>
      <c r="N29" s="82"/>
      <c r="O29" s="82"/>
    </row>
    <row r="30" spans="1:15" ht="20.25" x14ac:dyDescent="0.25">
      <c r="A30" s="102"/>
      <c r="B30" s="102"/>
      <c r="C30" s="104"/>
      <c r="D30" s="104"/>
      <c r="E30" s="82"/>
      <c r="F30" s="82"/>
      <c r="G30" s="82"/>
      <c r="H30" s="82"/>
      <c r="I30" s="82"/>
      <c r="J30" s="82"/>
      <c r="K30" s="82"/>
      <c r="L30" s="82"/>
      <c r="M30" s="82"/>
      <c r="N30" s="82"/>
      <c r="O30" s="82"/>
    </row>
    <row r="31" spans="1:15" ht="20.25" x14ac:dyDescent="0.25">
      <c r="A31" s="102"/>
      <c r="B31" s="102"/>
      <c r="C31" s="104"/>
      <c r="D31" s="104"/>
      <c r="E31" s="82"/>
      <c r="F31" s="82"/>
      <c r="G31" s="82"/>
      <c r="H31" s="82"/>
      <c r="I31" s="82"/>
      <c r="J31" s="82"/>
      <c r="K31" s="82"/>
      <c r="L31" s="82"/>
      <c r="M31" s="82"/>
      <c r="N31" s="82"/>
      <c r="O31" s="82"/>
    </row>
    <row r="32" spans="1:15" ht="20.25" x14ac:dyDescent="0.25">
      <c r="A32" s="102"/>
      <c r="B32" s="102"/>
      <c r="C32" s="104"/>
      <c r="D32" s="104"/>
      <c r="E32" s="82"/>
      <c r="F32" s="82"/>
      <c r="G32" s="82"/>
      <c r="H32" s="82"/>
      <c r="I32" s="82"/>
      <c r="J32" s="82"/>
      <c r="K32" s="82"/>
      <c r="L32" s="82"/>
      <c r="M32" s="82"/>
      <c r="N32" s="82"/>
      <c r="O32" s="82"/>
    </row>
    <row r="33" spans="1:15" ht="20.25" x14ac:dyDescent="0.25">
      <c r="A33" s="102"/>
      <c r="B33" s="102"/>
      <c r="C33" s="104"/>
      <c r="D33" s="104"/>
      <c r="E33" s="82"/>
      <c r="F33" s="82"/>
      <c r="G33" s="82"/>
      <c r="H33" s="82"/>
      <c r="I33" s="82"/>
      <c r="J33" s="82"/>
      <c r="K33" s="82"/>
      <c r="L33" s="82"/>
      <c r="M33" s="82"/>
      <c r="N33" s="82"/>
      <c r="O33" s="82"/>
    </row>
    <row r="34" spans="1:15" ht="20.25" x14ac:dyDescent="0.25">
      <c r="A34" s="102"/>
      <c r="B34" s="102"/>
      <c r="C34" s="104"/>
      <c r="D34" s="104"/>
      <c r="E34" s="82"/>
      <c r="F34" s="82"/>
      <c r="G34" s="82"/>
      <c r="H34" s="82"/>
      <c r="I34" s="82"/>
      <c r="J34" s="82"/>
      <c r="K34" s="82"/>
      <c r="L34" s="82"/>
      <c r="M34" s="82"/>
      <c r="N34" s="82"/>
      <c r="O34" s="82"/>
    </row>
    <row r="35" spans="1:15" ht="20.25" x14ac:dyDescent="0.25">
      <c r="A35" s="102"/>
      <c r="B35" s="102"/>
      <c r="C35" s="104"/>
      <c r="D35" s="104"/>
      <c r="E35" s="82"/>
      <c r="F35" s="82"/>
      <c r="G35" s="82"/>
      <c r="H35" s="82"/>
      <c r="I35" s="82"/>
      <c r="J35" s="82"/>
      <c r="K35" s="82"/>
      <c r="L35" s="82"/>
      <c r="M35" s="82"/>
      <c r="N35" s="82"/>
      <c r="O35" s="82"/>
    </row>
    <row r="36" spans="1:15" ht="20.25" x14ac:dyDescent="0.25">
      <c r="A36" s="102"/>
      <c r="B36" s="102"/>
      <c r="C36" s="104"/>
      <c r="D36" s="104"/>
      <c r="E36" s="82"/>
      <c r="F36" s="82"/>
      <c r="G36" s="82"/>
      <c r="H36" s="82"/>
      <c r="I36" s="82"/>
      <c r="J36" s="82"/>
      <c r="K36" s="82"/>
      <c r="L36" s="82"/>
      <c r="M36" s="82"/>
      <c r="N36" s="82"/>
      <c r="O36" s="82"/>
    </row>
    <row r="37" spans="1:15" ht="20.25" x14ac:dyDescent="0.25">
      <c r="A37" s="102"/>
      <c r="B37" s="102"/>
      <c r="C37" s="104"/>
      <c r="D37" s="104"/>
      <c r="E37" s="82"/>
      <c r="F37" s="82"/>
      <c r="G37" s="82"/>
      <c r="H37" s="82"/>
      <c r="I37" s="82"/>
      <c r="J37" s="82"/>
      <c r="K37" s="82"/>
      <c r="L37" s="82"/>
      <c r="M37" s="82"/>
      <c r="N37" s="82"/>
      <c r="O37" s="82"/>
    </row>
    <row r="38" spans="1:15" ht="20.25" x14ac:dyDescent="0.25">
      <c r="A38" s="102"/>
      <c r="B38" s="102"/>
      <c r="C38" s="104"/>
      <c r="D38" s="104"/>
      <c r="E38" s="82"/>
      <c r="F38" s="82"/>
      <c r="G38" s="82"/>
      <c r="H38" s="82"/>
      <c r="I38" s="82"/>
      <c r="J38" s="82"/>
      <c r="K38" s="82"/>
      <c r="L38" s="82"/>
      <c r="M38" s="82"/>
      <c r="N38" s="82"/>
      <c r="O38" s="82"/>
    </row>
    <row r="39" spans="1:15" ht="20.25" x14ac:dyDescent="0.25">
      <c r="A39" s="102"/>
      <c r="B39" s="102"/>
      <c r="C39" s="104"/>
      <c r="D39" s="104"/>
      <c r="E39" s="82"/>
      <c r="F39" s="82"/>
      <c r="G39" s="82"/>
      <c r="H39" s="82"/>
      <c r="I39" s="82"/>
      <c r="J39" s="82"/>
      <c r="K39" s="82"/>
      <c r="L39" s="82"/>
      <c r="M39" s="82"/>
      <c r="N39" s="82"/>
      <c r="O39" s="82"/>
    </row>
    <row r="40" spans="1:15" ht="20.25" x14ac:dyDescent="0.25">
      <c r="A40" s="102"/>
      <c r="B40" s="102"/>
      <c r="C40" s="104"/>
      <c r="D40" s="104"/>
      <c r="E40" s="82"/>
      <c r="F40" s="82"/>
      <c r="G40" s="82"/>
      <c r="H40" s="82"/>
      <c r="I40" s="82"/>
      <c r="J40" s="82"/>
      <c r="K40" s="82"/>
      <c r="L40" s="82"/>
      <c r="M40" s="82"/>
      <c r="N40" s="82"/>
      <c r="O40" s="82"/>
    </row>
    <row r="41" spans="1:15" ht="20.25" x14ac:dyDescent="0.25">
      <c r="A41" s="102"/>
      <c r="B41" s="102"/>
      <c r="C41" s="104"/>
      <c r="D41" s="104"/>
      <c r="E41" s="82"/>
      <c r="F41" s="82"/>
      <c r="G41" s="82"/>
      <c r="H41" s="82"/>
      <c r="I41" s="82"/>
      <c r="J41" s="82"/>
      <c r="K41" s="82"/>
      <c r="L41" s="82"/>
      <c r="M41" s="82"/>
      <c r="N41" s="82"/>
      <c r="O41" s="82"/>
    </row>
    <row r="42" spans="1:15" ht="20.25" x14ac:dyDescent="0.25">
      <c r="A42" s="102"/>
      <c r="B42" s="102"/>
      <c r="C42" s="104"/>
      <c r="D42" s="104"/>
      <c r="E42" s="82"/>
      <c r="F42" s="82"/>
      <c r="G42" s="82"/>
      <c r="H42" s="82"/>
      <c r="I42" s="82"/>
      <c r="J42" s="82"/>
      <c r="K42" s="82"/>
      <c r="L42" s="82"/>
      <c r="M42" s="82"/>
      <c r="N42" s="82"/>
      <c r="O42" s="82"/>
    </row>
    <row r="43" spans="1:15" ht="20.25" x14ac:dyDescent="0.25">
      <c r="A43" s="102"/>
      <c r="B43" s="102"/>
      <c r="C43" s="104"/>
      <c r="D43" s="104"/>
      <c r="E43" s="82"/>
      <c r="F43" s="82"/>
      <c r="G43" s="82"/>
      <c r="H43" s="82"/>
      <c r="I43" s="82"/>
      <c r="J43" s="82"/>
      <c r="K43" s="82"/>
      <c r="L43" s="82"/>
      <c r="M43" s="82"/>
      <c r="N43" s="82"/>
      <c r="O43" s="82"/>
    </row>
    <row r="44" spans="1:15" ht="20.25" x14ac:dyDescent="0.25">
      <c r="A44" s="102"/>
      <c r="B44" s="102"/>
      <c r="C44" s="104"/>
      <c r="D44" s="104"/>
      <c r="E44" s="82"/>
      <c r="F44" s="82"/>
      <c r="G44" s="82"/>
      <c r="H44" s="82"/>
      <c r="I44" s="82"/>
      <c r="J44" s="82"/>
      <c r="K44" s="82"/>
      <c r="L44" s="82"/>
      <c r="M44" s="82"/>
      <c r="N44" s="82"/>
      <c r="O44" s="82"/>
    </row>
    <row r="45" spans="1:15" ht="20.25" x14ac:dyDescent="0.25">
      <c r="A45" s="102"/>
      <c r="B45" s="102"/>
      <c r="C45" s="104"/>
      <c r="D45" s="104"/>
      <c r="E45" s="82"/>
      <c r="F45" s="82"/>
      <c r="G45" s="82"/>
      <c r="H45" s="82"/>
      <c r="I45" s="82"/>
      <c r="J45" s="82"/>
      <c r="K45" s="82"/>
      <c r="L45" s="82"/>
      <c r="M45" s="82"/>
      <c r="N45" s="82"/>
      <c r="O45" s="82"/>
    </row>
    <row r="46" spans="1:15" ht="20.25" x14ac:dyDescent="0.25">
      <c r="A46" s="102"/>
      <c r="B46" s="102"/>
      <c r="C46" s="104"/>
      <c r="D46" s="104"/>
      <c r="E46" s="82"/>
      <c r="F46" s="82"/>
      <c r="G46" s="82"/>
      <c r="H46" s="82"/>
      <c r="I46" s="82"/>
      <c r="J46" s="82"/>
      <c r="K46" s="82"/>
      <c r="L46" s="82"/>
      <c r="M46" s="82"/>
      <c r="N46" s="82"/>
      <c r="O46" s="82"/>
    </row>
    <row r="47" spans="1:15" ht="20.25" x14ac:dyDescent="0.25">
      <c r="A47" s="102"/>
      <c r="B47" s="102"/>
      <c r="C47" s="104"/>
      <c r="D47" s="104"/>
      <c r="E47" s="82"/>
      <c r="F47" s="82"/>
      <c r="G47" s="82"/>
      <c r="H47" s="82"/>
      <c r="I47" s="82"/>
      <c r="J47" s="82"/>
      <c r="K47" s="82"/>
      <c r="L47" s="82"/>
      <c r="M47" s="82"/>
      <c r="N47" s="82"/>
      <c r="O47" s="82"/>
    </row>
    <row r="48" spans="1:15" ht="20.25" x14ac:dyDescent="0.25">
      <c r="A48" s="102"/>
      <c r="B48" s="102"/>
      <c r="C48" s="104"/>
      <c r="D48" s="104"/>
      <c r="E48" s="82"/>
      <c r="F48" s="82"/>
      <c r="G48" s="82"/>
      <c r="H48" s="82"/>
      <c r="I48" s="82"/>
      <c r="J48" s="82"/>
      <c r="K48" s="82"/>
      <c r="L48" s="82"/>
      <c r="M48" s="82"/>
      <c r="N48" s="82"/>
      <c r="O48" s="82"/>
    </row>
    <row r="49" spans="1:15" ht="20.25" x14ac:dyDescent="0.25">
      <c r="A49" s="102"/>
      <c r="B49" s="102"/>
      <c r="C49" s="104"/>
      <c r="D49" s="104"/>
      <c r="E49" s="82"/>
      <c r="F49" s="82"/>
      <c r="G49" s="82"/>
      <c r="H49" s="82"/>
      <c r="I49" s="82"/>
      <c r="J49" s="82"/>
      <c r="K49" s="82"/>
      <c r="L49" s="82"/>
      <c r="M49" s="82"/>
      <c r="N49" s="82"/>
      <c r="O49" s="82"/>
    </row>
    <row r="50" spans="1:15" ht="20.25" x14ac:dyDescent="0.25">
      <c r="A50" s="102"/>
      <c r="B50" s="102"/>
      <c r="C50" s="104"/>
      <c r="D50" s="104"/>
      <c r="E50" s="82"/>
      <c r="F50" s="82"/>
      <c r="G50" s="82"/>
      <c r="H50" s="82"/>
      <c r="I50" s="82"/>
      <c r="J50" s="82"/>
      <c r="K50" s="82"/>
      <c r="L50" s="82"/>
      <c r="M50" s="82"/>
      <c r="N50" s="82"/>
      <c r="O50" s="82"/>
    </row>
    <row r="51" spans="1:15" ht="20.25" x14ac:dyDescent="0.25">
      <c r="A51" s="102"/>
      <c r="B51" s="102"/>
      <c r="C51" s="104"/>
      <c r="D51" s="104"/>
      <c r="E51" s="82"/>
      <c r="F51" s="82"/>
      <c r="G51" s="82"/>
      <c r="H51" s="82"/>
      <c r="I51" s="82"/>
      <c r="J51" s="82"/>
      <c r="K51" s="82"/>
      <c r="L51" s="82"/>
      <c r="M51" s="82"/>
      <c r="N51" s="82"/>
      <c r="O51" s="82"/>
    </row>
    <row r="52" spans="1:15" ht="20.25" x14ac:dyDescent="0.25">
      <c r="A52" s="102"/>
      <c r="B52" s="22"/>
      <c r="C52" s="33"/>
      <c r="D52" s="33"/>
    </row>
    <row r="53" spans="1:15" ht="20.25" x14ac:dyDescent="0.25">
      <c r="A53" s="102"/>
      <c r="B53" s="22"/>
      <c r="C53" s="33"/>
      <c r="D53" s="33"/>
    </row>
    <row r="54" spans="1:15" ht="20.25" x14ac:dyDescent="0.25">
      <c r="A54" s="102"/>
      <c r="B54" s="22"/>
      <c r="C54" s="33"/>
      <c r="D54" s="33"/>
    </row>
    <row r="55" spans="1:15" ht="20.25" x14ac:dyDescent="0.25">
      <c r="A55" s="102"/>
      <c r="B55" s="22"/>
      <c r="C55" s="33"/>
      <c r="D55" s="33"/>
    </row>
    <row r="56" spans="1:15" ht="20.25" x14ac:dyDescent="0.25">
      <c r="A56" s="102"/>
      <c r="B56" s="22"/>
      <c r="C56" s="33"/>
      <c r="D56" s="33"/>
    </row>
    <row r="57" spans="1:15" ht="20.25" x14ac:dyDescent="0.25">
      <c r="A57" s="102"/>
      <c r="B57" s="22"/>
      <c r="C57" s="33"/>
      <c r="D57" s="33"/>
    </row>
    <row r="58" spans="1:15" ht="20.25" x14ac:dyDescent="0.25">
      <c r="A58" s="102"/>
      <c r="B58" s="22"/>
      <c r="C58" s="33"/>
      <c r="D58" s="33"/>
    </row>
    <row r="59" spans="1:15" ht="20.25" x14ac:dyDescent="0.25">
      <c r="A59" s="102"/>
      <c r="B59" s="22"/>
      <c r="C59" s="33"/>
      <c r="D59" s="33"/>
    </row>
    <row r="60" spans="1:15" ht="20.25" x14ac:dyDescent="0.25">
      <c r="A60" s="102"/>
      <c r="B60" s="22"/>
      <c r="C60" s="33"/>
      <c r="D60" s="33"/>
    </row>
    <row r="61" spans="1:15" ht="20.25" x14ac:dyDescent="0.25">
      <c r="A61" s="102"/>
      <c r="B61" s="22"/>
      <c r="C61" s="33"/>
      <c r="D61" s="33"/>
    </row>
    <row r="62" spans="1:15" ht="20.25" x14ac:dyDescent="0.25">
      <c r="A62" s="102"/>
      <c r="B62" s="22"/>
      <c r="C62" s="33"/>
      <c r="D62" s="33"/>
    </row>
    <row r="63" spans="1:15" ht="20.25" x14ac:dyDescent="0.25">
      <c r="A63" s="102"/>
      <c r="B63" s="22"/>
      <c r="C63" s="33"/>
      <c r="D63" s="33"/>
    </row>
    <row r="64" spans="1:15" ht="20.25" x14ac:dyDescent="0.25">
      <c r="A64" s="102"/>
      <c r="B64" s="22"/>
      <c r="C64" s="33"/>
      <c r="D64" s="33"/>
    </row>
    <row r="65" spans="1:4" ht="20.25" x14ac:dyDescent="0.25">
      <c r="A65" s="102"/>
      <c r="B65" s="22"/>
      <c r="C65" s="33"/>
      <c r="D65" s="33"/>
    </row>
    <row r="66" spans="1:4" ht="20.25" x14ac:dyDescent="0.25">
      <c r="A66" s="102"/>
      <c r="B66" s="22"/>
      <c r="C66" s="33"/>
      <c r="D66" s="33"/>
    </row>
    <row r="67" spans="1:4" ht="20.25" x14ac:dyDescent="0.25">
      <c r="A67" s="102"/>
      <c r="B67" s="22"/>
      <c r="C67" s="33"/>
      <c r="D67" s="33"/>
    </row>
    <row r="68" spans="1:4" ht="20.25" x14ac:dyDescent="0.25">
      <c r="A68" s="102"/>
      <c r="B68" s="22"/>
      <c r="C68" s="33"/>
      <c r="D68" s="33"/>
    </row>
    <row r="69" spans="1:4" ht="20.25" x14ac:dyDescent="0.25">
      <c r="A69" s="102"/>
      <c r="B69" s="22"/>
      <c r="C69" s="33"/>
      <c r="D69" s="33"/>
    </row>
    <row r="70" spans="1:4" ht="20.25" x14ac:dyDescent="0.25">
      <c r="A70" s="102"/>
      <c r="B70" s="22"/>
      <c r="C70" s="33"/>
      <c r="D70" s="33"/>
    </row>
    <row r="71" spans="1:4" ht="20.25" x14ac:dyDescent="0.25">
      <c r="A71" s="102"/>
      <c r="B71" s="22"/>
      <c r="C71" s="33"/>
      <c r="D71" s="33"/>
    </row>
    <row r="72" spans="1:4" ht="20.25" x14ac:dyDescent="0.25">
      <c r="A72" s="102"/>
      <c r="B72" s="22"/>
      <c r="C72" s="33"/>
      <c r="D72" s="33"/>
    </row>
    <row r="73" spans="1:4" ht="20.25" x14ac:dyDescent="0.25">
      <c r="A73" s="102"/>
      <c r="B73" s="22"/>
      <c r="C73" s="33"/>
      <c r="D73" s="33"/>
    </row>
    <row r="74" spans="1:4" ht="20.25" x14ac:dyDescent="0.25">
      <c r="A74" s="102"/>
      <c r="B74" s="22"/>
      <c r="C74" s="33"/>
      <c r="D74" s="33"/>
    </row>
    <row r="75" spans="1:4" ht="20.25" x14ac:dyDescent="0.25">
      <c r="A75" s="102"/>
      <c r="B75" s="22"/>
      <c r="C75" s="33"/>
      <c r="D75" s="33"/>
    </row>
    <row r="76" spans="1:4" ht="20.25" x14ac:dyDescent="0.25">
      <c r="A76" s="102"/>
      <c r="B76" s="22"/>
      <c r="C76" s="33"/>
      <c r="D76" s="33"/>
    </row>
    <row r="77" spans="1:4" ht="20.25" x14ac:dyDescent="0.25">
      <c r="A77" s="102"/>
      <c r="B77" s="22"/>
      <c r="C77" s="33"/>
      <c r="D77" s="33"/>
    </row>
    <row r="78" spans="1:4" ht="20.25" x14ac:dyDescent="0.25">
      <c r="A78" s="102"/>
      <c r="B78" s="22"/>
      <c r="C78" s="33"/>
      <c r="D78" s="33"/>
    </row>
    <row r="79" spans="1:4" ht="20.25" x14ac:dyDescent="0.25">
      <c r="A79" s="102"/>
      <c r="B79" s="22"/>
      <c r="C79" s="33"/>
      <c r="D79" s="33"/>
    </row>
    <row r="80" spans="1:4" ht="20.25" x14ac:dyDescent="0.25">
      <c r="A80" s="102"/>
      <c r="B80" s="22"/>
      <c r="C80" s="33"/>
      <c r="D80" s="33"/>
    </row>
    <row r="81" spans="1:4" ht="20.25" x14ac:dyDescent="0.25">
      <c r="A81" s="102"/>
      <c r="B81" s="22"/>
      <c r="C81" s="33"/>
      <c r="D81" s="33"/>
    </row>
    <row r="82" spans="1:4" ht="20.25" x14ac:dyDescent="0.25">
      <c r="A82" s="102"/>
      <c r="B82" s="22"/>
      <c r="C82" s="33"/>
      <c r="D82" s="33"/>
    </row>
    <row r="83" spans="1:4" ht="20.25" x14ac:dyDescent="0.25">
      <c r="A83" s="102"/>
      <c r="B83" s="22"/>
      <c r="C83" s="33"/>
      <c r="D83" s="33"/>
    </row>
    <row r="84" spans="1:4" ht="20.25" x14ac:dyDescent="0.25">
      <c r="A84" s="102"/>
      <c r="B84" s="22"/>
      <c r="C84" s="33"/>
      <c r="D84" s="33"/>
    </row>
    <row r="85" spans="1:4" ht="20.25" x14ac:dyDescent="0.25">
      <c r="A85" s="102"/>
      <c r="B85" s="22"/>
      <c r="C85" s="33"/>
      <c r="D85" s="33"/>
    </row>
    <row r="86" spans="1:4" ht="20.25" x14ac:dyDescent="0.25">
      <c r="A86" s="102"/>
      <c r="B86" s="22"/>
      <c r="C86" s="33"/>
      <c r="D86" s="33"/>
    </row>
    <row r="87" spans="1:4" ht="20.25" x14ac:dyDescent="0.25">
      <c r="A87" s="102"/>
      <c r="B87" s="22"/>
      <c r="C87" s="33"/>
      <c r="D87" s="33"/>
    </row>
    <row r="88" spans="1:4" ht="20.25" x14ac:dyDescent="0.25">
      <c r="A88" s="102"/>
      <c r="B88" s="22"/>
      <c r="C88" s="33"/>
      <c r="D88" s="33"/>
    </row>
    <row r="89" spans="1:4" ht="20.25" x14ac:dyDescent="0.25">
      <c r="A89" s="102"/>
      <c r="B89" s="22"/>
      <c r="C89" s="33"/>
      <c r="D89" s="33"/>
    </row>
    <row r="90" spans="1:4" ht="20.25" x14ac:dyDescent="0.25">
      <c r="A90" s="102"/>
      <c r="B90" s="22"/>
      <c r="C90" s="33"/>
      <c r="D90" s="33"/>
    </row>
    <row r="91" spans="1:4" ht="20.25" x14ac:dyDescent="0.25">
      <c r="A91" s="102"/>
      <c r="B91" s="22"/>
      <c r="C91" s="33"/>
      <c r="D91" s="33"/>
    </row>
    <row r="92" spans="1:4" ht="20.25" x14ac:dyDescent="0.25">
      <c r="A92" s="102"/>
      <c r="B92" s="22"/>
      <c r="C92" s="33"/>
      <c r="D92" s="33"/>
    </row>
    <row r="93" spans="1:4" ht="20.25" x14ac:dyDescent="0.25">
      <c r="A93" s="102"/>
      <c r="B93" s="22"/>
      <c r="C93" s="33"/>
      <c r="D93" s="33"/>
    </row>
    <row r="94" spans="1:4" ht="20.25" x14ac:dyDescent="0.25">
      <c r="A94" s="102"/>
      <c r="B94" s="22"/>
      <c r="C94" s="33"/>
      <c r="D94" s="33"/>
    </row>
    <row r="95" spans="1:4" ht="20.25" x14ac:dyDescent="0.25">
      <c r="A95" s="102"/>
      <c r="B95" s="22"/>
      <c r="C95" s="33"/>
      <c r="D95" s="33"/>
    </row>
    <row r="96" spans="1:4" ht="20.25" x14ac:dyDescent="0.25">
      <c r="A96" s="102"/>
      <c r="B96" s="22"/>
      <c r="C96" s="33"/>
      <c r="D96" s="33"/>
    </row>
    <row r="97" spans="1:4" ht="20.25" x14ac:dyDescent="0.25">
      <c r="A97" s="102"/>
      <c r="B97" s="22"/>
      <c r="C97" s="33"/>
      <c r="D97" s="33"/>
    </row>
    <row r="98" spans="1:4" ht="20.25" x14ac:dyDescent="0.25">
      <c r="A98" s="102"/>
      <c r="B98" s="22"/>
      <c r="C98" s="33"/>
      <c r="D98" s="33"/>
    </row>
    <row r="99" spans="1:4" ht="20.25" x14ac:dyDescent="0.25">
      <c r="A99" s="102"/>
      <c r="B99" s="22"/>
      <c r="C99" s="33"/>
      <c r="D99" s="33"/>
    </row>
    <row r="100" spans="1:4" ht="20.25" x14ac:dyDescent="0.25">
      <c r="A100" s="102"/>
      <c r="B100" s="22"/>
      <c r="C100" s="33"/>
      <c r="D100" s="33"/>
    </row>
    <row r="101" spans="1:4" ht="20.25" x14ac:dyDescent="0.25">
      <c r="A101" s="102"/>
      <c r="B101" s="22"/>
      <c r="C101" s="33"/>
      <c r="D101" s="33"/>
    </row>
    <row r="102" spans="1:4" ht="20.25" x14ac:dyDescent="0.25">
      <c r="A102" s="102"/>
      <c r="B102" s="22"/>
      <c r="C102" s="33"/>
      <c r="D102" s="33"/>
    </row>
    <row r="103" spans="1:4" ht="20.25" x14ac:dyDescent="0.25">
      <c r="A103" s="102"/>
      <c r="B103" s="22"/>
      <c r="C103" s="33"/>
      <c r="D103" s="33"/>
    </row>
    <row r="104" spans="1:4" ht="20.25" x14ac:dyDescent="0.25">
      <c r="A104" s="102"/>
      <c r="B104" s="22"/>
      <c r="C104" s="33"/>
      <c r="D104" s="33"/>
    </row>
    <row r="105" spans="1:4" ht="20.25" x14ac:dyDescent="0.25">
      <c r="A105" s="102"/>
      <c r="B105" s="22"/>
      <c r="C105" s="33"/>
      <c r="D105" s="33"/>
    </row>
    <row r="106" spans="1:4" ht="20.25" x14ac:dyDescent="0.25">
      <c r="A106" s="102"/>
      <c r="B106" s="22"/>
      <c r="C106" s="33"/>
      <c r="D106" s="33"/>
    </row>
    <row r="107" spans="1:4" ht="20.25" x14ac:dyDescent="0.25">
      <c r="A107" s="102"/>
      <c r="B107" s="22"/>
      <c r="C107" s="33"/>
      <c r="D107" s="33"/>
    </row>
    <row r="108" spans="1:4" ht="20.25" x14ac:dyDescent="0.25">
      <c r="A108" s="102"/>
      <c r="B108" s="22"/>
      <c r="C108" s="33"/>
      <c r="D108" s="33"/>
    </row>
    <row r="109" spans="1:4" ht="20.25" x14ac:dyDescent="0.25">
      <c r="A109" s="102"/>
      <c r="B109" s="22"/>
      <c r="C109" s="33"/>
      <c r="D109" s="33"/>
    </row>
    <row r="110" spans="1:4" ht="20.25" x14ac:dyDescent="0.25">
      <c r="A110" s="102"/>
      <c r="B110" s="22"/>
      <c r="C110" s="33"/>
      <c r="D110" s="33"/>
    </row>
    <row r="111" spans="1:4" ht="20.25" x14ac:dyDescent="0.25">
      <c r="A111" s="102"/>
      <c r="B111" s="22"/>
      <c r="C111" s="33"/>
      <c r="D111" s="33"/>
    </row>
    <row r="112" spans="1:4" ht="20.25" x14ac:dyDescent="0.25">
      <c r="A112" s="102"/>
      <c r="B112" s="22"/>
      <c r="C112" s="33"/>
      <c r="D112" s="33"/>
    </row>
    <row r="113" spans="1:4" ht="20.25" x14ac:dyDescent="0.25">
      <c r="A113" s="102"/>
      <c r="B113" s="22"/>
      <c r="C113" s="33"/>
      <c r="D113" s="33"/>
    </row>
    <row r="114" spans="1:4" ht="20.25" x14ac:dyDescent="0.25">
      <c r="A114" s="102"/>
      <c r="B114" s="22"/>
      <c r="C114" s="33"/>
      <c r="D114" s="33"/>
    </row>
    <row r="115" spans="1:4" ht="20.25" x14ac:dyDescent="0.25">
      <c r="A115" s="102"/>
      <c r="B115" s="22"/>
      <c r="C115" s="33"/>
      <c r="D115" s="33"/>
    </row>
    <row r="116" spans="1:4" ht="20.25" x14ac:dyDescent="0.25">
      <c r="A116" s="102"/>
      <c r="B116" s="22"/>
      <c r="C116" s="33"/>
      <c r="D116" s="33"/>
    </row>
    <row r="117" spans="1:4" ht="20.25" x14ac:dyDescent="0.25">
      <c r="A117" s="102"/>
      <c r="B117" s="22"/>
      <c r="C117" s="33"/>
      <c r="D117" s="33"/>
    </row>
    <row r="118" spans="1:4" ht="20.25" x14ac:dyDescent="0.25">
      <c r="A118" s="102"/>
      <c r="B118" s="22"/>
      <c r="C118" s="33"/>
      <c r="D118" s="33"/>
    </row>
    <row r="119" spans="1:4" ht="20.25" x14ac:dyDescent="0.25">
      <c r="A119" s="102"/>
      <c r="B119" s="22"/>
      <c r="C119" s="33"/>
      <c r="D119" s="33"/>
    </row>
    <row r="120" spans="1:4" ht="20.25" x14ac:dyDescent="0.25">
      <c r="A120" s="102"/>
      <c r="B120" s="22"/>
      <c r="C120" s="33"/>
      <c r="D120" s="33"/>
    </row>
    <row r="121" spans="1:4" ht="20.25" x14ac:dyDescent="0.25">
      <c r="A121" s="102"/>
      <c r="B121" s="22"/>
      <c r="C121" s="33"/>
      <c r="D121" s="33"/>
    </row>
    <row r="122" spans="1:4" ht="20.25" x14ac:dyDescent="0.25">
      <c r="A122" s="102"/>
      <c r="B122" s="22"/>
      <c r="C122" s="33"/>
      <c r="D122" s="33"/>
    </row>
    <row r="123" spans="1:4" ht="20.25" x14ac:dyDescent="0.25">
      <c r="A123" s="102"/>
      <c r="B123" s="22"/>
      <c r="C123" s="33"/>
      <c r="D123" s="33"/>
    </row>
    <row r="124" spans="1:4" ht="20.25" x14ac:dyDescent="0.25">
      <c r="A124" s="102"/>
      <c r="B124" s="22"/>
      <c r="C124" s="33"/>
      <c r="D124" s="33"/>
    </row>
    <row r="125" spans="1:4" ht="20.25" x14ac:dyDescent="0.25">
      <c r="A125" s="102"/>
      <c r="B125" s="22"/>
      <c r="C125" s="33"/>
      <c r="D125" s="33"/>
    </row>
    <row r="126" spans="1:4" ht="20.25" x14ac:dyDescent="0.25">
      <c r="A126" s="102"/>
      <c r="B126" s="22"/>
      <c r="C126" s="33"/>
      <c r="D126" s="33"/>
    </row>
    <row r="127" spans="1:4" ht="20.25" x14ac:dyDescent="0.25">
      <c r="A127" s="102"/>
      <c r="B127" s="22"/>
      <c r="C127" s="33"/>
      <c r="D127" s="33"/>
    </row>
    <row r="128" spans="1:4" ht="20.25" x14ac:dyDescent="0.25">
      <c r="A128" s="102"/>
      <c r="B128" s="22"/>
      <c r="C128" s="33"/>
      <c r="D128" s="33"/>
    </row>
    <row r="129" spans="1:4" ht="20.25" x14ac:dyDescent="0.25">
      <c r="A129" s="102"/>
      <c r="B129" s="22"/>
      <c r="C129" s="33"/>
      <c r="D129" s="33"/>
    </row>
    <row r="130" spans="1:4" ht="20.25" x14ac:dyDescent="0.25">
      <c r="A130" s="102"/>
      <c r="B130" s="22"/>
      <c r="C130" s="33"/>
      <c r="D130" s="33"/>
    </row>
    <row r="131" spans="1:4" ht="20.25" x14ac:dyDescent="0.25">
      <c r="A131" s="102"/>
      <c r="B131" s="22"/>
      <c r="C131" s="33"/>
      <c r="D131" s="33"/>
    </row>
    <row r="132" spans="1:4" ht="20.25" x14ac:dyDescent="0.25">
      <c r="A132" s="102"/>
      <c r="B132" s="22"/>
      <c r="C132" s="33"/>
      <c r="D132" s="33"/>
    </row>
    <row r="133" spans="1:4" ht="20.25" x14ac:dyDescent="0.25">
      <c r="A133" s="102"/>
      <c r="B133" s="22"/>
      <c r="C133" s="33"/>
      <c r="D133" s="33"/>
    </row>
    <row r="134" spans="1:4" ht="20.25" x14ac:dyDescent="0.25">
      <c r="A134" s="102"/>
      <c r="B134" s="22"/>
      <c r="C134" s="33"/>
      <c r="D134" s="33"/>
    </row>
    <row r="135" spans="1:4" ht="20.25" x14ac:dyDescent="0.25">
      <c r="A135" s="102"/>
      <c r="B135" s="22"/>
      <c r="C135" s="33"/>
      <c r="D135" s="33"/>
    </row>
    <row r="136" spans="1:4" ht="20.25" x14ac:dyDescent="0.25">
      <c r="A136" s="102"/>
      <c r="B136" s="22"/>
      <c r="C136" s="33"/>
      <c r="D136" s="33"/>
    </row>
    <row r="137" spans="1:4" ht="20.25" x14ac:dyDescent="0.25">
      <c r="A137" s="102"/>
      <c r="B137" s="22"/>
      <c r="C137" s="33"/>
      <c r="D137" s="33"/>
    </row>
    <row r="138" spans="1:4" ht="20.25" x14ac:dyDescent="0.25">
      <c r="A138" s="102"/>
      <c r="B138" s="22"/>
      <c r="C138" s="33"/>
      <c r="D138" s="33"/>
    </row>
    <row r="139" spans="1:4" ht="20.25" x14ac:dyDescent="0.25">
      <c r="A139" s="102"/>
      <c r="B139" s="22"/>
      <c r="C139" s="33"/>
      <c r="D139" s="33"/>
    </row>
    <row r="140" spans="1:4" ht="20.25" x14ac:dyDescent="0.25">
      <c r="A140" s="102"/>
      <c r="B140" s="22"/>
      <c r="C140" s="33"/>
      <c r="D140" s="33"/>
    </row>
    <row r="141" spans="1:4" ht="20.25" x14ac:dyDescent="0.25">
      <c r="A141" s="102"/>
      <c r="B141" s="22"/>
      <c r="C141" s="33"/>
      <c r="D141" s="33"/>
    </row>
    <row r="142" spans="1:4" ht="20.25" x14ac:dyDescent="0.25">
      <c r="A142" s="102"/>
      <c r="B142" s="22"/>
      <c r="C142" s="33"/>
      <c r="D142" s="33"/>
    </row>
    <row r="143" spans="1:4" ht="20.25" x14ac:dyDescent="0.25">
      <c r="A143" s="102"/>
      <c r="B143" s="22"/>
      <c r="C143" s="33"/>
      <c r="D143" s="33"/>
    </row>
    <row r="144" spans="1:4" ht="20.25" x14ac:dyDescent="0.25">
      <c r="A144" s="102"/>
      <c r="B144" s="22"/>
      <c r="C144" s="33"/>
      <c r="D144" s="33"/>
    </row>
    <row r="145" spans="1:4" ht="20.25" x14ac:dyDescent="0.25">
      <c r="A145" s="102"/>
      <c r="B145" s="22"/>
      <c r="C145" s="33"/>
      <c r="D145" s="33"/>
    </row>
    <row r="146" spans="1:4" ht="20.25" x14ac:dyDescent="0.25">
      <c r="A146" s="102"/>
      <c r="B146" s="22"/>
      <c r="C146" s="33"/>
      <c r="D146" s="33"/>
    </row>
    <row r="147" spans="1:4" ht="20.25" x14ac:dyDescent="0.25">
      <c r="A147" s="102"/>
      <c r="B147" s="22"/>
      <c r="C147" s="33"/>
      <c r="D147" s="33"/>
    </row>
    <row r="148" spans="1:4" ht="20.25" x14ac:dyDescent="0.25">
      <c r="A148" s="102"/>
      <c r="B148" s="22"/>
      <c r="C148" s="33"/>
      <c r="D148" s="33"/>
    </row>
    <row r="149" spans="1:4" ht="20.25" x14ac:dyDescent="0.25">
      <c r="A149" s="102"/>
      <c r="B149" s="22"/>
      <c r="C149" s="33"/>
      <c r="D149" s="33"/>
    </row>
    <row r="150" spans="1:4" ht="20.25" x14ac:dyDescent="0.25">
      <c r="A150" s="102"/>
      <c r="B150" s="22"/>
      <c r="C150" s="33"/>
      <c r="D150" s="33"/>
    </row>
    <row r="151" spans="1:4" ht="20.25" x14ac:dyDescent="0.25">
      <c r="A151" s="102"/>
      <c r="B151" s="22"/>
      <c r="C151" s="33"/>
      <c r="D151" s="33"/>
    </row>
    <row r="152" spans="1:4" ht="20.25" x14ac:dyDescent="0.25">
      <c r="A152" s="102"/>
      <c r="B152" s="22"/>
      <c r="C152" s="33"/>
      <c r="D152" s="33"/>
    </row>
    <row r="153" spans="1:4" ht="20.25" x14ac:dyDescent="0.25">
      <c r="A153" s="102"/>
      <c r="B153" s="22"/>
      <c r="C153" s="33"/>
      <c r="D153" s="33"/>
    </row>
    <row r="154" spans="1:4" ht="20.25" x14ac:dyDescent="0.25">
      <c r="A154" s="102"/>
      <c r="B154" s="22"/>
      <c r="C154" s="33"/>
      <c r="D154" s="33"/>
    </row>
    <row r="155" spans="1:4" ht="20.25" x14ac:dyDescent="0.25">
      <c r="A155" s="102"/>
      <c r="B155" s="22"/>
      <c r="C155" s="33"/>
      <c r="D155" s="33"/>
    </row>
    <row r="156" spans="1:4" ht="20.25" x14ac:dyDescent="0.25">
      <c r="A156" s="102"/>
      <c r="B156" s="22"/>
      <c r="C156" s="33"/>
      <c r="D156" s="33"/>
    </row>
    <row r="157" spans="1:4" ht="20.25" x14ac:dyDescent="0.25">
      <c r="A157" s="102"/>
      <c r="B157" s="22"/>
      <c r="C157" s="33"/>
      <c r="D157" s="33"/>
    </row>
    <row r="158" spans="1:4" ht="20.25" x14ac:dyDescent="0.25">
      <c r="A158" s="102"/>
      <c r="B158" s="22"/>
      <c r="C158" s="33"/>
      <c r="D158" s="33"/>
    </row>
    <row r="159" spans="1:4" ht="20.25" x14ac:dyDescent="0.25">
      <c r="A159" s="102"/>
      <c r="B159" s="22"/>
      <c r="C159" s="33"/>
      <c r="D159" s="33"/>
    </row>
    <row r="160" spans="1:4" ht="20.25" x14ac:dyDescent="0.25">
      <c r="A160" s="102"/>
      <c r="B160" s="22"/>
      <c r="C160" s="33"/>
      <c r="D160" s="33"/>
    </row>
    <row r="161" spans="1:4" ht="20.25" x14ac:dyDescent="0.25">
      <c r="A161" s="102"/>
      <c r="B161" s="22"/>
      <c r="C161" s="33"/>
      <c r="D161" s="33"/>
    </row>
    <row r="162" spans="1:4" ht="20.25" x14ac:dyDescent="0.25">
      <c r="A162" s="102"/>
      <c r="B162" s="22"/>
      <c r="C162" s="33"/>
      <c r="D162" s="33"/>
    </row>
    <row r="163" spans="1:4" ht="20.25" x14ac:dyDescent="0.25">
      <c r="A163" s="102"/>
      <c r="B163" s="22"/>
      <c r="C163" s="33"/>
      <c r="D163" s="33"/>
    </row>
    <row r="164" spans="1:4" ht="20.25" x14ac:dyDescent="0.25">
      <c r="A164" s="102"/>
      <c r="B164" s="22"/>
      <c r="C164" s="33"/>
      <c r="D164" s="33"/>
    </row>
    <row r="165" spans="1:4" ht="20.25" x14ac:dyDescent="0.25">
      <c r="A165" s="102"/>
      <c r="B165" s="22"/>
      <c r="C165" s="33"/>
      <c r="D165" s="33"/>
    </row>
    <row r="166" spans="1:4" ht="20.25" x14ac:dyDescent="0.25">
      <c r="A166" s="102"/>
      <c r="B166" s="22"/>
      <c r="C166" s="33"/>
      <c r="D166" s="33"/>
    </row>
    <row r="167" spans="1:4" ht="20.25" x14ac:dyDescent="0.25">
      <c r="A167" s="102"/>
      <c r="B167" s="22"/>
      <c r="C167" s="33"/>
      <c r="D167" s="33"/>
    </row>
    <row r="168" spans="1:4" ht="20.25" x14ac:dyDescent="0.25">
      <c r="A168" s="102"/>
      <c r="B168" s="22"/>
      <c r="C168" s="33"/>
      <c r="D168" s="33"/>
    </row>
    <row r="169" spans="1:4" ht="20.25" x14ac:dyDescent="0.25">
      <c r="A169" s="102"/>
      <c r="B169" s="22"/>
      <c r="C169" s="33"/>
      <c r="D169" s="33"/>
    </row>
    <row r="170" spans="1:4" ht="20.25" x14ac:dyDescent="0.25">
      <c r="A170" s="102"/>
      <c r="B170" s="22"/>
      <c r="C170" s="33"/>
      <c r="D170" s="33"/>
    </row>
    <row r="171" spans="1:4" ht="20.25" x14ac:dyDescent="0.25">
      <c r="A171" s="102"/>
      <c r="B171" s="22"/>
      <c r="C171" s="33"/>
      <c r="D171" s="33"/>
    </row>
    <row r="172" spans="1:4" ht="20.25" x14ac:dyDescent="0.25">
      <c r="A172" s="102"/>
      <c r="B172" s="22"/>
      <c r="C172" s="33"/>
      <c r="D172" s="33"/>
    </row>
    <row r="173" spans="1:4" ht="20.25" x14ac:dyDescent="0.25">
      <c r="A173" s="102"/>
      <c r="B173" s="22"/>
      <c r="C173" s="33"/>
      <c r="D173" s="33"/>
    </row>
    <row r="174" spans="1:4" ht="20.25" x14ac:dyDescent="0.25">
      <c r="A174" s="102"/>
      <c r="B174" s="22"/>
      <c r="C174" s="33"/>
      <c r="D174" s="33"/>
    </row>
    <row r="175" spans="1:4" ht="20.25" x14ac:dyDescent="0.25">
      <c r="A175" s="102"/>
      <c r="B175" s="22"/>
      <c r="C175" s="33"/>
      <c r="D175" s="33"/>
    </row>
    <row r="176" spans="1:4" ht="20.25" x14ac:dyDescent="0.25">
      <c r="A176" s="102"/>
      <c r="B176" s="22"/>
      <c r="C176" s="33"/>
      <c r="D176" s="33"/>
    </row>
    <row r="177" spans="1:4" ht="20.25" x14ac:dyDescent="0.25">
      <c r="A177" s="102"/>
      <c r="B177" s="22"/>
      <c r="C177" s="33"/>
      <c r="D177" s="33"/>
    </row>
    <row r="178" spans="1:4" ht="20.25" x14ac:dyDescent="0.25">
      <c r="A178" s="102"/>
      <c r="B178" s="22"/>
      <c r="C178" s="33"/>
      <c r="D178" s="33"/>
    </row>
    <row r="179" spans="1:4" ht="20.25" x14ac:dyDescent="0.25">
      <c r="A179" s="102"/>
      <c r="B179" s="22"/>
      <c r="C179" s="33"/>
      <c r="D179" s="33"/>
    </row>
    <row r="180" spans="1:4" ht="20.25" x14ac:dyDescent="0.25">
      <c r="A180" s="102"/>
      <c r="B180" s="22"/>
      <c r="C180" s="33"/>
      <c r="D180" s="33"/>
    </row>
    <row r="181" spans="1:4" ht="20.25" x14ac:dyDescent="0.25">
      <c r="A181" s="102"/>
      <c r="B181" s="22"/>
      <c r="C181" s="33"/>
      <c r="D181" s="33"/>
    </row>
    <row r="182" spans="1:4" ht="20.25" x14ac:dyDescent="0.25">
      <c r="A182" s="102"/>
      <c r="B182" s="22"/>
      <c r="C182" s="33"/>
      <c r="D182" s="33"/>
    </row>
    <row r="183" spans="1:4" ht="20.25" x14ac:dyDescent="0.25">
      <c r="A183" s="102"/>
      <c r="B183" s="22"/>
      <c r="C183" s="33"/>
      <c r="D183" s="33"/>
    </row>
    <row r="184" spans="1:4" ht="20.25" x14ac:dyDescent="0.25">
      <c r="A184" s="102"/>
      <c r="B184" s="22"/>
      <c r="C184" s="33"/>
      <c r="D184" s="33"/>
    </row>
    <row r="185" spans="1:4" ht="20.25" x14ac:dyDescent="0.25">
      <c r="A185" s="102"/>
      <c r="B185" s="22"/>
      <c r="C185" s="33"/>
      <c r="D185" s="33"/>
    </row>
    <row r="186" spans="1:4" ht="20.25" x14ac:dyDescent="0.25">
      <c r="A186" s="102"/>
      <c r="B186" s="22"/>
      <c r="C186" s="33"/>
      <c r="D186" s="33"/>
    </row>
    <row r="187" spans="1:4" ht="20.25" x14ac:dyDescent="0.25">
      <c r="A187" s="102"/>
      <c r="B187" s="22"/>
      <c r="C187" s="33"/>
      <c r="D187" s="33"/>
    </row>
    <row r="188" spans="1:4" ht="20.25" x14ac:dyDescent="0.25">
      <c r="A188" s="102"/>
      <c r="B188" s="22"/>
      <c r="C188" s="33"/>
      <c r="D188" s="33"/>
    </row>
    <row r="189" spans="1:4" ht="20.25" x14ac:dyDescent="0.25">
      <c r="A189" s="102"/>
      <c r="B189" s="22"/>
      <c r="C189" s="33"/>
      <c r="D189" s="33"/>
    </row>
    <row r="190" spans="1:4" ht="20.25" x14ac:dyDescent="0.25">
      <c r="A190" s="102"/>
      <c r="B190" s="22"/>
      <c r="C190" s="33"/>
      <c r="D190" s="33"/>
    </row>
    <row r="191" spans="1:4" ht="20.25" x14ac:dyDescent="0.25">
      <c r="A191" s="102"/>
      <c r="B191" s="22"/>
      <c r="C191" s="33"/>
      <c r="D191" s="33"/>
    </row>
    <row r="192" spans="1:4" ht="20.25" x14ac:dyDescent="0.25">
      <c r="A192" s="102"/>
      <c r="B192" s="22"/>
      <c r="C192" s="33"/>
      <c r="D192" s="33"/>
    </row>
    <row r="193" spans="1:4" ht="20.25" x14ac:dyDescent="0.25">
      <c r="A193" s="102"/>
      <c r="B193" s="22"/>
      <c r="C193" s="33"/>
      <c r="D193" s="33"/>
    </row>
    <row r="194" spans="1:4" ht="20.25" x14ac:dyDescent="0.25">
      <c r="A194" s="102"/>
      <c r="B194" s="22"/>
      <c r="C194" s="33"/>
      <c r="D194" s="33"/>
    </row>
    <row r="195" spans="1:4" ht="20.25" x14ac:dyDescent="0.25">
      <c r="A195" s="102"/>
      <c r="B195" s="22"/>
      <c r="C195" s="33"/>
      <c r="D195" s="33"/>
    </row>
    <row r="196" spans="1:4" ht="20.25" x14ac:dyDescent="0.25">
      <c r="A196" s="102"/>
      <c r="B196" s="22"/>
      <c r="C196" s="33"/>
      <c r="D196" s="33"/>
    </row>
    <row r="197" spans="1:4" ht="20.25" x14ac:dyDescent="0.25">
      <c r="A197" s="102"/>
      <c r="B197" s="22"/>
      <c r="C197" s="33"/>
      <c r="D197" s="33"/>
    </row>
    <row r="198" spans="1:4" ht="20.25" x14ac:dyDescent="0.25">
      <c r="A198" s="102"/>
      <c r="B198" s="22"/>
      <c r="C198" s="33"/>
      <c r="D198" s="33"/>
    </row>
    <row r="199" spans="1:4" ht="20.25" x14ac:dyDescent="0.25">
      <c r="A199" s="102"/>
      <c r="B199" s="22"/>
      <c r="C199" s="33"/>
      <c r="D199" s="33"/>
    </row>
    <row r="200" spans="1:4" ht="20.25" x14ac:dyDescent="0.25">
      <c r="A200" s="102"/>
      <c r="B200" s="22"/>
      <c r="C200" s="33"/>
      <c r="D200" s="33"/>
    </row>
    <row r="201" spans="1:4" ht="20.25" x14ac:dyDescent="0.25">
      <c r="A201" s="102"/>
      <c r="B201" s="22"/>
      <c r="C201" s="33"/>
      <c r="D201" s="33"/>
    </row>
    <row r="202" spans="1:4" ht="20.25" x14ac:dyDescent="0.25">
      <c r="A202" s="102"/>
      <c r="B202" s="22"/>
      <c r="C202" s="33"/>
      <c r="D202" s="33"/>
    </row>
    <row r="203" spans="1:4" ht="20.25" x14ac:dyDescent="0.25">
      <c r="A203" s="102"/>
      <c r="B203" s="22"/>
      <c r="C203" s="33"/>
      <c r="D203" s="33"/>
    </row>
    <row r="204" spans="1:4" ht="20.25" x14ac:dyDescent="0.25">
      <c r="A204" s="102"/>
      <c r="B204" s="22"/>
      <c r="C204" s="33"/>
      <c r="D204" s="33"/>
    </row>
    <row r="205" spans="1:4" ht="20.25" x14ac:dyDescent="0.25">
      <c r="A205" s="102"/>
      <c r="B205" s="22"/>
      <c r="C205" s="33"/>
      <c r="D205" s="33"/>
    </row>
    <row r="206" spans="1:4" ht="20.25" x14ac:dyDescent="0.25">
      <c r="A206" s="102"/>
      <c r="B206" s="22"/>
      <c r="C206" s="33"/>
      <c r="D206" s="33"/>
    </row>
    <row r="207" spans="1:4" ht="20.25" x14ac:dyDescent="0.25">
      <c r="A207" s="102"/>
      <c r="B207" s="22"/>
      <c r="C207" s="33"/>
      <c r="D207" s="33"/>
    </row>
    <row r="208" spans="1:4" x14ac:dyDescent="0.25">
      <c r="A208" s="82"/>
      <c r="B208" s="22"/>
      <c r="C208" s="22"/>
      <c r="D208" s="22"/>
    </row>
    <row r="209" spans="1:8" ht="20.25" x14ac:dyDescent="0.25">
      <c r="A209" s="82"/>
      <c r="B209" s="29" t="s">
        <v>87</v>
      </c>
      <c r="C209" s="29" t="s">
        <v>144</v>
      </c>
      <c r="D209" s="32" t="s">
        <v>87</v>
      </c>
      <c r="E209" s="32" t="s">
        <v>144</v>
      </c>
    </row>
    <row r="210" spans="1:8" ht="21" x14ac:dyDescent="0.35">
      <c r="A210" s="82"/>
      <c r="B210" s="30" t="s">
        <v>89</v>
      </c>
      <c r="C210" s="30" t="s">
        <v>57</v>
      </c>
      <c r="D210" t="s">
        <v>89</v>
      </c>
      <c r="F210" t="str">
        <f>IF(NOT(ISBLANK(D210)),D210,IF(NOT(ISBLANK(E210)),"     "&amp;E210,FALSE))</f>
        <v>Afectación Económica o presupuestal</v>
      </c>
      <c r="G210" t="s">
        <v>89</v>
      </c>
      <c r="H210" t="str">
        <f>IF(NOT(ISERROR(MATCH(G210,_xlfn.ANCHORARRAY(B221),0))),F223&amp;"Por favor no seleccionar los criterios de impacto",G210)</f>
        <v>❌Por favor no seleccionar los criterios de impacto</v>
      </c>
    </row>
    <row r="211" spans="1:8" ht="21" x14ac:dyDescent="0.35">
      <c r="A211" s="82"/>
      <c r="B211" s="30" t="s">
        <v>89</v>
      </c>
      <c r="C211" s="30" t="s">
        <v>92</v>
      </c>
      <c r="E211" t="s">
        <v>57</v>
      </c>
      <c r="F211" t="str">
        <f t="shared" ref="F211:F221" si="0">IF(NOT(ISBLANK(D211)),D211,IF(NOT(ISBLANK(E211)),"     "&amp;E211,FALSE))</f>
        <v xml:space="preserve">     Afectación menor a 10 SMLMV .</v>
      </c>
    </row>
    <row r="212" spans="1:8" ht="21" x14ac:dyDescent="0.35">
      <c r="A212" s="82"/>
      <c r="B212" s="30" t="s">
        <v>89</v>
      </c>
      <c r="C212" s="30" t="s">
        <v>93</v>
      </c>
      <c r="E212" t="s">
        <v>92</v>
      </c>
      <c r="F212" t="str">
        <f t="shared" si="0"/>
        <v xml:space="preserve">     Entre 10 y 50 SMLMV </v>
      </c>
    </row>
    <row r="213" spans="1:8" ht="21" x14ac:dyDescent="0.35">
      <c r="A213" s="82"/>
      <c r="B213" s="30" t="s">
        <v>89</v>
      </c>
      <c r="C213" s="30" t="s">
        <v>94</v>
      </c>
      <c r="E213" t="s">
        <v>93</v>
      </c>
      <c r="F213" t="str">
        <f t="shared" si="0"/>
        <v xml:space="preserve">     Entre 50 y 100 SMLMV </v>
      </c>
    </row>
    <row r="214" spans="1:8" ht="21" x14ac:dyDescent="0.35">
      <c r="A214" s="82"/>
      <c r="B214" s="30" t="s">
        <v>89</v>
      </c>
      <c r="C214" s="30" t="s">
        <v>95</v>
      </c>
      <c r="E214" t="s">
        <v>94</v>
      </c>
      <c r="F214" t="str">
        <f t="shared" si="0"/>
        <v xml:space="preserve">     Entre 100 y 500 SMLMV </v>
      </c>
    </row>
    <row r="215" spans="1:8" ht="21" x14ac:dyDescent="0.35">
      <c r="A215" s="82"/>
      <c r="B215" s="30" t="s">
        <v>56</v>
      </c>
      <c r="C215" s="30" t="s">
        <v>96</v>
      </c>
      <c r="E215" t="s">
        <v>95</v>
      </c>
      <c r="F215" t="str">
        <f t="shared" si="0"/>
        <v xml:space="preserve">     Mayor a 500 SMLMV </v>
      </c>
    </row>
    <row r="216" spans="1:8" ht="21" x14ac:dyDescent="0.35">
      <c r="A216" s="82"/>
      <c r="B216" s="30" t="s">
        <v>56</v>
      </c>
      <c r="C216" s="30" t="s">
        <v>97</v>
      </c>
      <c r="D216" t="s">
        <v>56</v>
      </c>
      <c r="F216" t="str">
        <f t="shared" si="0"/>
        <v>Pérdida Reputacional</v>
      </c>
    </row>
    <row r="217" spans="1:8" ht="21" x14ac:dyDescent="0.35">
      <c r="A217" s="82"/>
      <c r="B217" s="30" t="s">
        <v>56</v>
      </c>
      <c r="C217" s="30" t="s">
        <v>99</v>
      </c>
      <c r="E217" t="s">
        <v>96</v>
      </c>
      <c r="F217" t="str">
        <f t="shared" si="0"/>
        <v xml:space="preserve">     El riesgo afecta la imagen de alguna área de la organización</v>
      </c>
    </row>
    <row r="218" spans="1:8" ht="21" x14ac:dyDescent="0.35">
      <c r="A218" s="82"/>
      <c r="B218" s="30" t="s">
        <v>56</v>
      </c>
      <c r="C218" s="30" t="s">
        <v>98</v>
      </c>
      <c r="E218" t="s">
        <v>97</v>
      </c>
      <c r="F218" t="str">
        <f t="shared" si="0"/>
        <v xml:space="preserve">     El riesgo afecta la imagen de la entidad internamente, de conocimiento general, nivel interno, de junta dircetiva y accionistas y/o de provedores</v>
      </c>
    </row>
    <row r="219" spans="1:8" ht="21" x14ac:dyDescent="0.35">
      <c r="A219" s="82"/>
      <c r="B219" s="30" t="s">
        <v>56</v>
      </c>
      <c r="C219" s="30" t="s">
        <v>117</v>
      </c>
      <c r="E219" t="s">
        <v>99</v>
      </c>
      <c r="F219" t="str">
        <f t="shared" si="0"/>
        <v xml:space="preserve">     El riesgo afecta la imagen de la entidad con algunos usuarios de relevancia frente al logro de los objetivos</v>
      </c>
    </row>
    <row r="220" spans="1:8" x14ac:dyDescent="0.25">
      <c r="A220" s="82"/>
      <c r="B220" s="31"/>
      <c r="C220" s="31"/>
      <c r="E220" t="s">
        <v>98</v>
      </c>
      <c r="F220" t="str">
        <f t="shared" si="0"/>
        <v xml:space="preserve">     El riesgo afecta la imagen de de la entidad con efecto publicitario sostenido a nivel de sector administrativo, nivel departamental o municipal</v>
      </c>
    </row>
    <row r="221" spans="1:8" x14ac:dyDescent="0.25">
      <c r="A221" s="82"/>
      <c r="B221" s="31" t="str">
        <f t="array" ref="B221:B223">_xlfn.UNIQUE(Tabla1[[#All],[Criterios]])</f>
        <v>Criterios</v>
      </c>
      <c r="C221" s="31"/>
      <c r="E221" t="s">
        <v>117</v>
      </c>
      <c r="F221" t="str">
        <f t="shared" si="0"/>
        <v xml:space="preserve">     El riesgo afecta la imagen de la entidad a nivel nacional, con efecto publicitarios sostenible a nivel país</v>
      </c>
    </row>
    <row r="222" spans="1:8" x14ac:dyDescent="0.25">
      <c r="A222" s="82"/>
      <c r="B222" s="31" t="str">
        <v>Afectación Económica o presupuestal</v>
      </c>
      <c r="C222" s="31"/>
    </row>
    <row r="223" spans="1:8" x14ac:dyDescent="0.25">
      <c r="B223" s="31" t="str">
        <v>Pérdida Reputacional</v>
      </c>
      <c r="C223" s="31"/>
      <c r="F223" s="34" t="s">
        <v>146</v>
      </c>
    </row>
    <row r="224" spans="1:8" x14ac:dyDescent="0.25">
      <c r="B224" s="21"/>
      <c r="C224" s="21"/>
      <c r="F224" s="34" t="s">
        <v>147</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E11" sqref="E11"/>
    </sheetView>
  </sheetViews>
  <sheetFormatPr baseColWidth="10" defaultColWidth="14.28515625" defaultRowHeight="12.75" x14ac:dyDescent="0.2"/>
  <cols>
    <col min="1" max="2" width="14.28515625" style="87"/>
    <col min="3" max="3" width="17" style="87" customWidth="1"/>
    <col min="4" max="4" width="14.28515625" style="87"/>
    <col min="5" max="5" width="46" style="87" customWidth="1"/>
    <col min="6" max="16384" width="14.28515625" style="87"/>
  </cols>
  <sheetData>
    <row r="1" spans="2:6" ht="24" customHeight="1" thickBot="1" x14ac:dyDescent="0.25">
      <c r="B1" s="452" t="s">
        <v>77</v>
      </c>
      <c r="C1" s="453"/>
      <c r="D1" s="453"/>
      <c r="E1" s="453"/>
      <c r="F1" s="454"/>
    </row>
    <row r="2" spans="2:6" ht="16.5" thickBot="1" x14ac:dyDescent="0.3">
      <c r="B2" s="88"/>
      <c r="C2" s="88"/>
      <c r="D2" s="88"/>
      <c r="E2" s="88"/>
      <c r="F2" s="88"/>
    </row>
    <row r="3" spans="2:6" ht="16.5" thickBot="1" x14ac:dyDescent="0.25">
      <c r="B3" s="456" t="s">
        <v>63</v>
      </c>
      <c r="C3" s="457"/>
      <c r="D3" s="457"/>
      <c r="E3" s="100" t="s">
        <v>64</v>
      </c>
      <c r="F3" s="101" t="s">
        <v>65</v>
      </c>
    </row>
    <row r="4" spans="2:6" ht="31.5" x14ac:dyDescent="0.2">
      <c r="B4" s="458" t="s">
        <v>66</v>
      </c>
      <c r="C4" s="460" t="s">
        <v>13</v>
      </c>
      <c r="D4" s="89" t="s">
        <v>14</v>
      </c>
      <c r="E4" s="90" t="s">
        <v>67</v>
      </c>
      <c r="F4" s="91">
        <v>0.25</v>
      </c>
    </row>
    <row r="5" spans="2:6" ht="47.25" x14ac:dyDescent="0.2">
      <c r="B5" s="459"/>
      <c r="C5" s="461"/>
      <c r="D5" s="92" t="s">
        <v>15</v>
      </c>
      <c r="E5" s="93" t="s">
        <v>68</v>
      </c>
      <c r="F5" s="94">
        <v>0.15</v>
      </c>
    </row>
    <row r="6" spans="2:6" ht="47.25" x14ac:dyDescent="0.2">
      <c r="B6" s="459"/>
      <c r="C6" s="461"/>
      <c r="D6" s="92" t="s">
        <v>16</v>
      </c>
      <c r="E6" s="93" t="s">
        <v>69</v>
      </c>
      <c r="F6" s="94">
        <v>0.1</v>
      </c>
    </row>
    <row r="7" spans="2:6" ht="63" x14ac:dyDescent="0.2">
      <c r="B7" s="459"/>
      <c r="C7" s="461" t="s">
        <v>17</v>
      </c>
      <c r="D7" s="92" t="s">
        <v>10</v>
      </c>
      <c r="E7" s="93" t="s">
        <v>70</v>
      </c>
      <c r="F7" s="94">
        <v>0.25</v>
      </c>
    </row>
    <row r="8" spans="2:6" ht="31.5" x14ac:dyDescent="0.2">
      <c r="B8" s="459"/>
      <c r="C8" s="461"/>
      <c r="D8" s="92" t="s">
        <v>9</v>
      </c>
      <c r="E8" s="93" t="s">
        <v>71</v>
      </c>
      <c r="F8" s="94">
        <v>0.15</v>
      </c>
    </row>
    <row r="9" spans="2:6" ht="47.25" x14ac:dyDescent="0.2">
      <c r="B9" s="459" t="s">
        <v>161</v>
      </c>
      <c r="C9" s="461" t="s">
        <v>18</v>
      </c>
      <c r="D9" s="92" t="s">
        <v>19</v>
      </c>
      <c r="E9" s="93" t="s">
        <v>72</v>
      </c>
      <c r="F9" s="95" t="s">
        <v>73</v>
      </c>
    </row>
    <row r="10" spans="2:6" ht="63" x14ac:dyDescent="0.2">
      <c r="B10" s="459"/>
      <c r="C10" s="461"/>
      <c r="D10" s="92" t="s">
        <v>20</v>
      </c>
      <c r="E10" s="93" t="s">
        <v>74</v>
      </c>
      <c r="F10" s="95" t="s">
        <v>73</v>
      </c>
    </row>
    <row r="11" spans="2:6" ht="47.25" x14ac:dyDescent="0.2">
      <c r="B11" s="459"/>
      <c r="C11" s="461" t="s">
        <v>21</v>
      </c>
      <c r="D11" s="92" t="s">
        <v>22</v>
      </c>
      <c r="E11" s="93" t="s">
        <v>75</v>
      </c>
      <c r="F11" s="95" t="s">
        <v>73</v>
      </c>
    </row>
    <row r="12" spans="2:6" ht="47.25" x14ac:dyDescent="0.2">
      <c r="B12" s="459"/>
      <c r="C12" s="461"/>
      <c r="D12" s="92" t="s">
        <v>23</v>
      </c>
      <c r="E12" s="93" t="s">
        <v>76</v>
      </c>
      <c r="F12" s="95" t="s">
        <v>73</v>
      </c>
    </row>
    <row r="13" spans="2:6" ht="31.5" x14ac:dyDescent="0.2">
      <c r="B13" s="459"/>
      <c r="C13" s="461" t="s">
        <v>24</v>
      </c>
      <c r="D13" s="92" t="s">
        <v>118</v>
      </c>
      <c r="E13" s="93" t="s">
        <v>121</v>
      </c>
      <c r="F13" s="95" t="s">
        <v>73</v>
      </c>
    </row>
    <row r="14" spans="2:6" ht="32.25" thickBot="1" x14ac:dyDescent="0.25">
      <c r="B14" s="462"/>
      <c r="C14" s="463"/>
      <c r="D14" s="96" t="s">
        <v>119</v>
      </c>
      <c r="E14" s="97" t="s">
        <v>120</v>
      </c>
      <c r="F14" s="98" t="s">
        <v>73</v>
      </c>
    </row>
    <row r="15" spans="2:6" ht="49.5" customHeight="1" x14ac:dyDescent="0.2">
      <c r="B15" s="455" t="s">
        <v>158</v>
      </c>
      <c r="C15" s="455"/>
      <c r="D15" s="455"/>
      <c r="E15" s="455"/>
      <c r="F15" s="455"/>
    </row>
    <row r="16" spans="2:6" ht="27" customHeight="1" x14ac:dyDescent="0.25">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132</v>
      </c>
    </row>
    <row r="3" spans="2:5" x14ac:dyDescent="0.25">
      <c r="B3" t="s">
        <v>32</v>
      </c>
      <c r="E3" t="s">
        <v>131</v>
      </c>
    </row>
    <row r="4" spans="2:5" x14ac:dyDescent="0.25">
      <c r="B4" t="s">
        <v>136</v>
      </c>
      <c r="E4" t="s">
        <v>133</v>
      </c>
    </row>
    <row r="5" spans="2:5" x14ac:dyDescent="0.25">
      <c r="B5" t="s">
        <v>135</v>
      </c>
    </row>
    <row r="8" spans="2:5" x14ac:dyDescent="0.25">
      <c r="B8" t="s">
        <v>85</v>
      </c>
    </row>
    <row r="9" spans="2:5" x14ac:dyDescent="0.25">
      <c r="B9" t="s">
        <v>40</v>
      </c>
    </row>
    <row r="10" spans="2:5" x14ac:dyDescent="0.25">
      <c r="B10" t="s">
        <v>41</v>
      </c>
    </row>
    <row r="13" spans="2:5" x14ac:dyDescent="0.25">
      <c r="B13" t="s">
        <v>128</v>
      </c>
    </row>
    <row r="14" spans="2:5" x14ac:dyDescent="0.25">
      <c r="B14" t="s">
        <v>122</v>
      </c>
    </row>
    <row r="15" spans="2:5" x14ac:dyDescent="0.25">
      <c r="B15" t="s">
        <v>125</v>
      </c>
    </row>
    <row r="16" spans="2:5" x14ac:dyDescent="0.25">
      <c r="B16" t="s">
        <v>123</v>
      </c>
    </row>
    <row r="17" spans="2:2" x14ac:dyDescent="0.25">
      <c r="B17" t="s">
        <v>124</v>
      </c>
    </row>
    <row r="18" spans="2:2" x14ac:dyDescent="0.25">
      <c r="B18" t="s">
        <v>126</v>
      </c>
    </row>
    <row r="19" spans="2:2" x14ac:dyDescent="0.25">
      <c r="B19" t="s">
        <v>127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14</v>
      </c>
    </row>
    <row r="4" spans="1:1" x14ac:dyDescent="0.2">
      <c r="A4" s="9" t="s">
        <v>15</v>
      </c>
    </row>
    <row r="5" spans="1:1" x14ac:dyDescent="0.2">
      <c r="A5" s="9" t="s">
        <v>16</v>
      </c>
    </row>
    <row r="6" spans="1:1" x14ac:dyDescent="0.2">
      <c r="A6" s="9" t="s">
        <v>10</v>
      </c>
    </row>
    <row r="7" spans="1:1" x14ac:dyDescent="0.2">
      <c r="A7" s="9" t="s">
        <v>9</v>
      </c>
    </row>
    <row r="8" spans="1:1" x14ac:dyDescent="0.2">
      <c r="A8" s="9" t="s">
        <v>19</v>
      </c>
    </row>
    <row r="9" spans="1:1" x14ac:dyDescent="0.2">
      <c r="A9" s="9" t="s">
        <v>20</v>
      </c>
    </row>
    <row r="10" spans="1:1" x14ac:dyDescent="0.2">
      <c r="A10" s="9" t="s">
        <v>22</v>
      </c>
    </row>
    <row r="11" spans="1:1" x14ac:dyDescent="0.2">
      <c r="A11" s="9" t="s">
        <v>23</v>
      </c>
    </row>
    <row r="12" spans="1:1" x14ac:dyDescent="0.2">
      <c r="A12" s="9" t="s">
        <v>25</v>
      </c>
    </row>
    <row r="13" spans="1:1" x14ac:dyDescent="0.2">
      <c r="A13" s="9" t="s">
        <v>26</v>
      </c>
    </row>
    <row r="14" spans="1:1" x14ac:dyDescent="0.2">
      <c r="A14" s="9" t="s">
        <v>27</v>
      </c>
    </row>
    <row r="16" spans="1:1" x14ac:dyDescent="0.2">
      <c r="A16" s="9" t="s">
        <v>30</v>
      </c>
    </row>
    <row r="17" spans="1:1" x14ac:dyDescent="0.2">
      <c r="A17" s="9" t="s">
        <v>31</v>
      </c>
    </row>
    <row r="18" spans="1:1" x14ac:dyDescent="0.2">
      <c r="A18" s="9" t="s">
        <v>32</v>
      </c>
    </row>
    <row r="20" spans="1:1" x14ac:dyDescent="0.2">
      <c r="A20" s="9" t="s">
        <v>40</v>
      </c>
    </row>
    <row r="21" spans="1:1" x14ac:dyDescent="0.2">
      <c r="A21" s="9"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2025-05-09T16:39:46Z</dcterms:modified>
</cp:coreProperties>
</file>